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8795" windowHeight="12015"/>
  </bookViews>
  <sheets>
    <sheet name="BALANCE" sheetId="2" r:id="rId1"/>
    <sheet name="PYG" sheetId="3" r:id="rId2"/>
    <sheet name="CONSCOND" sheetId="4" r:id="rId3"/>
    <sheet name="BALCONS" sheetId="5" r:id="rId4"/>
    <sheet name="BALCONS %" sheetId="6" r:id="rId5"/>
    <sheet name="GRAFICOS" sheetId="7" r:id="rId6"/>
    <sheet name="RK" sheetId="8" r:id="rId7"/>
    <sheet name="GRAFICOS RK" sheetId="9" r:id="rId8"/>
    <sheet name="COMPOS CART" sheetId="10" r:id="rId9"/>
    <sheet name="COMPOS CART %" sheetId="11" r:id="rId10"/>
    <sheet name="EPyG" sheetId="12" r:id="rId11"/>
    <sheet name="EPyG %" sheetId="13" r:id="rId12"/>
    <sheet name="INDICADORES" sheetId="14" r:id="rId13"/>
    <sheet name="CART X PLAZOS" sheetId="15" r:id="rId14"/>
  </sheets>
  <externalReferences>
    <externalReference r:id="rId15"/>
    <externalReference r:id="rId16"/>
  </externalReferences>
  <calcPr calcId="145621"/>
</workbook>
</file>

<file path=xl/calcChain.xml><?xml version="1.0" encoding="utf-8"?>
<calcChain xmlns="http://schemas.openxmlformats.org/spreadsheetml/2006/main">
  <c r="K133" i="15" l="1"/>
  <c r="H133" i="15"/>
  <c r="G133" i="15"/>
  <c r="F133" i="15"/>
  <c r="D133" i="15"/>
  <c r="K132" i="15"/>
  <c r="H132" i="15"/>
  <c r="G132" i="15"/>
  <c r="F132" i="15"/>
  <c r="D132" i="15"/>
  <c r="K131" i="15"/>
  <c r="H131" i="15"/>
  <c r="G131" i="15"/>
  <c r="F131" i="15"/>
  <c r="D131" i="15"/>
  <c r="K130" i="15"/>
  <c r="H130" i="15"/>
  <c r="G130" i="15"/>
  <c r="F130" i="15"/>
  <c r="D130" i="15"/>
  <c r="K129" i="15"/>
  <c r="H129" i="15"/>
  <c r="G129" i="15"/>
  <c r="F129" i="15"/>
  <c r="D129" i="15"/>
  <c r="K128" i="15"/>
  <c r="H128" i="15"/>
  <c r="G128" i="15"/>
  <c r="F128" i="15"/>
  <c r="D128" i="15"/>
  <c r="K126" i="15"/>
  <c r="H126" i="15"/>
  <c r="G126" i="15"/>
  <c r="F126" i="15"/>
  <c r="D126" i="15"/>
  <c r="K125" i="15"/>
  <c r="H125" i="15"/>
  <c r="G125" i="15"/>
  <c r="F125" i="15"/>
  <c r="D125" i="15"/>
  <c r="K124" i="15"/>
  <c r="H124" i="15"/>
  <c r="G124" i="15"/>
  <c r="F124" i="15"/>
  <c r="D124" i="15"/>
  <c r="K123" i="15"/>
  <c r="H123" i="15"/>
  <c r="G123" i="15"/>
  <c r="F123" i="15"/>
  <c r="D123" i="15"/>
  <c r="K122" i="15"/>
  <c r="H122" i="15"/>
  <c r="G122" i="15"/>
  <c r="F122" i="15"/>
  <c r="D122" i="15"/>
  <c r="K121" i="15"/>
  <c r="H121" i="15"/>
  <c r="G121" i="15"/>
  <c r="F121" i="15"/>
  <c r="D121" i="15"/>
  <c r="K119" i="15"/>
  <c r="K177" i="15" s="1"/>
  <c r="H119" i="15"/>
  <c r="H177" i="15" s="1"/>
  <c r="G119" i="15"/>
  <c r="G177" i="15" s="1"/>
  <c r="F119" i="15"/>
  <c r="F177" i="15" s="1"/>
  <c r="D119" i="15"/>
  <c r="D177" i="15" s="1"/>
  <c r="K118" i="15"/>
  <c r="K176" i="15" s="1"/>
  <c r="H118" i="15"/>
  <c r="H176" i="15" s="1"/>
  <c r="G118" i="15"/>
  <c r="G176" i="15" s="1"/>
  <c r="F118" i="15"/>
  <c r="F176" i="15" s="1"/>
  <c r="D118" i="15"/>
  <c r="D176" i="15" s="1"/>
  <c r="K117" i="15"/>
  <c r="K175" i="15" s="1"/>
  <c r="H117" i="15"/>
  <c r="H175" i="15" s="1"/>
  <c r="G117" i="15"/>
  <c r="G175" i="15" s="1"/>
  <c r="F117" i="15"/>
  <c r="F175" i="15" s="1"/>
  <c r="D117" i="15"/>
  <c r="D175" i="15" s="1"/>
  <c r="K116" i="15"/>
  <c r="K174" i="15" s="1"/>
  <c r="H116" i="15"/>
  <c r="H174" i="15" s="1"/>
  <c r="G116" i="15"/>
  <c r="G174" i="15" s="1"/>
  <c r="F116" i="15"/>
  <c r="F174" i="15" s="1"/>
  <c r="D116" i="15"/>
  <c r="D174" i="15" s="1"/>
  <c r="K115" i="15"/>
  <c r="K173" i="15" s="1"/>
  <c r="H115" i="15"/>
  <c r="H173" i="15" s="1"/>
  <c r="G115" i="15"/>
  <c r="G173" i="15" s="1"/>
  <c r="F115" i="15"/>
  <c r="F173" i="15" s="1"/>
  <c r="D115" i="15"/>
  <c r="D173" i="15" s="1"/>
  <c r="K114" i="15"/>
  <c r="K172" i="15" s="1"/>
  <c r="H114" i="15"/>
  <c r="H172" i="15" s="1"/>
  <c r="G114" i="15"/>
  <c r="G172" i="15" s="1"/>
  <c r="F114" i="15"/>
  <c r="F172" i="15" s="1"/>
  <c r="D114" i="15"/>
  <c r="D172" i="15" s="1"/>
  <c r="K112" i="15"/>
  <c r="H112" i="15"/>
  <c r="G112" i="15"/>
  <c r="F112" i="15"/>
  <c r="D112" i="15"/>
  <c r="K111" i="15"/>
  <c r="H111" i="15"/>
  <c r="G111" i="15"/>
  <c r="F111" i="15"/>
  <c r="D111" i="15"/>
  <c r="K110" i="15"/>
  <c r="H110" i="15"/>
  <c r="G110" i="15"/>
  <c r="F110" i="15"/>
  <c r="D110" i="15"/>
  <c r="K109" i="15"/>
  <c r="H109" i="15"/>
  <c r="G109" i="15"/>
  <c r="F109" i="15"/>
  <c r="D109" i="15"/>
  <c r="K108" i="15"/>
  <c r="H108" i="15"/>
  <c r="G108" i="15"/>
  <c r="F108" i="15"/>
  <c r="D108" i="15"/>
  <c r="K107" i="15"/>
  <c r="H107" i="15"/>
  <c r="G107" i="15"/>
  <c r="F107" i="15"/>
  <c r="D107" i="15"/>
  <c r="K105" i="15"/>
  <c r="H105" i="15"/>
  <c r="G105" i="15"/>
  <c r="F105" i="15"/>
  <c r="D105" i="15"/>
  <c r="K104" i="15"/>
  <c r="H104" i="15"/>
  <c r="G104" i="15"/>
  <c r="F104" i="15"/>
  <c r="D104" i="15"/>
  <c r="K103" i="15"/>
  <c r="H103" i="15"/>
  <c r="G103" i="15"/>
  <c r="F103" i="15"/>
  <c r="D103" i="15"/>
  <c r="K102" i="15"/>
  <c r="H102" i="15"/>
  <c r="G102" i="15"/>
  <c r="F102" i="15"/>
  <c r="D102" i="15"/>
  <c r="K101" i="15"/>
  <c r="H101" i="15"/>
  <c r="G101" i="15"/>
  <c r="F101" i="15"/>
  <c r="D101" i="15"/>
  <c r="K100" i="15"/>
  <c r="H100" i="15"/>
  <c r="G100" i="15"/>
  <c r="F100" i="15"/>
  <c r="D100" i="15"/>
  <c r="K98" i="15"/>
  <c r="K170" i="15" s="1"/>
  <c r="H98" i="15"/>
  <c r="H170" i="15" s="1"/>
  <c r="G98" i="15"/>
  <c r="G170" i="15" s="1"/>
  <c r="F98" i="15"/>
  <c r="F170" i="15" s="1"/>
  <c r="D98" i="15"/>
  <c r="D170" i="15" s="1"/>
  <c r="K97" i="15"/>
  <c r="K169" i="15" s="1"/>
  <c r="H97" i="15"/>
  <c r="H169" i="15" s="1"/>
  <c r="G97" i="15"/>
  <c r="G169" i="15" s="1"/>
  <c r="F97" i="15"/>
  <c r="F169" i="15" s="1"/>
  <c r="D97" i="15"/>
  <c r="D169" i="15" s="1"/>
  <c r="K96" i="15"/>
  <c r="K168" i="15" s="1"/>
  <c r="H96" i="15"/>
  <c r="H168" i="15" s="1"/>
  <c r="G96" i="15"/>
  <c r="G168" i="15" s="1"/>
  <c r="F96" i="15"/>
  <c r="F168" i="15" s="1"/>
  <c r="D96" i="15"/>
  <c r="D168" i="15" s="1"/>
  <c r="K95" i="15"/>
  <c r="K167" i="15" s="1"/>
  <c r="H95" i="15"/>
  <c r="H167" i="15" s="1"/>
  <c r="G95" i="15"/>
  <c r="G167" i="15" s="1"/>
  <c r="F95" i="15"/>
  <c r="F167" i="15" s="1"/>
  <c r="D95" i="15"/>
  <c r="D167" i="15" s="1"/>
  <c r="K94" i="15"/>
  <c r="K166" i="15" s="1"/>
  <c r="H94" i="15"/>
  <c r="H166" i="15" s="1"/>
  <c r="G94" i="15"/>
  <c r="G166" i="15" s="1"/>
  <c r="F94" i="15"/>
  <c r="F166" i="15" s="1"/>
  <c r="D94" i="15"/>
  <c r="D166" i="15" s="1"/>
  <c r="K93" i="15"/>
  <c r="K165" i="15" s="1"/>
  <c r="H93" i="15"/>
  <c r="H165" i="15" s="1"/>
  <c r="G93" i="15"/>
  <c r="G165" i="15" s="1"/>
  <c r="F93" i="15"/>
  <c r="F165" i="15" s="1"/>
  <c r="D93" i="15"/>
  <c r="D165" i="15" s="1"/>
  <c r="K91" i="15"/>
  <c r="H91" i="15"/>
  <c r="G91" i="15"/>
  <c r="F91" i="15"/>
  <c r="D91" i="15"/>
  <c r="K90" i="15"/>
  <c r="H90" i="15"/>
  <c r="G90" i="15"/>
  <c r="F90" i="15"/>
  <c r="D90" i="15"/>
  <c r="K89" i="15"/>
  <c r="H89" i="15"/>
  <c r="G89" i="15"/>
  <c r="F89" i="15"/>
  <c r="D89" i="15"/>
  <c r="K88" i="15"/>
  <c r="H88" i="15"/>
  <c r="G88" i="15"/>
  <c r="F88" i="15"/>
  <c r="D88" i="15"/>
  <c r="K87" i="15"/>
  <c r="H87" i="15"/>
  <c r="G87" i="15"/>
  <c r="F87" i="15"/>
  <c r="D87" i="15"/>
  <c r="K86" i="15"/>
  <c r="H86" i="15"/>
  <c r="G86" i="15"/>
  <c r="F86" i="15"/>
  <c r="D86" i="15"/>
  <c r="K84" i="15"/>
  <c r="H84" i="15"/>
  <c r="G84" i="15"/>
  <c r="F84" i="15"/>
  <c r="D84" i="15"/>
  <c r="K83" i="15"/>
  <c r="H83" i="15"/>
  <c r="G83" i="15"/>
  <c r="F83" i="15"/>
  <c r="D83" i="15"/>
  <c r="K82" i="15"/>
  <c r="H82" i="15"/>
  <c r="G82" i="15"/>
  <c r="F82" i="15"/>
  <c r="D82" i="15"/>
  <c r="K81" i="15"/>
  <c r="H81" i="15"/>
  <c r="G81" i="15"/>
  <c r="F81" i="15"/>
  <c r="D81" i="15"/>
  <c r="K80" i="15"/>
  <c r="H80" i="15"/>
  <c r="G80" i="15"/>
  <c r="F80" i="15"/>
  <c r="D80" i="15"/>
  <c r="K79" i="15"/>
  <c r="H79" i="15"/>
  <c r="G79" i="15"/>
  <c r="F79" i="15"/>
  <c r="D79" i="15"/>
  <c r="K77" i="15"/>
  <c r="K163" i="15" s="1"/>
  <c r="H77" i="15"/>
  <c r="H163" i="15" s="1"/>
  <c r="G77" i="15"/>
  <c r="G163" i="15" s="1"/>
  <c r="F77" i="15"/>
  <c r="F163" i="15" s="1"/>
  <c r="D77" i="15"/>
  <c r="D163" i="15" s="1"/>
  <c r="K76" i="15"/>
  <c r="K162" i="15" s="1"/>
  <c r="H76" i="15"/>
  <c r="H162" i="15" s="1"/>
  <c r="G76" i="15"/>
  <c r="G162" i="15" s="1"/>
  <c r="F76" i="15"/>
  <c r="F162" i="15" s="1"/>
  <c r="D76" i="15"/>
  <c r="D162" i="15" s="1"/>
  <c r="K75" i="15"/>
  <c r="K161" i="15" s="1"/>
  <c r="H75" i="15"/>
  <c r="H161" i="15" s="1"/>
  <c r="G75" i="15"/>
  <c r="G161" i="15" s="1"/>
  <c r="F75" i="15"/>
  <c r="F161" i="15" s="1"/>
  <c r="D75" i="15"/>
  <c r="D161" i="15" s="1"/>
  <c r="K74" i="15"/>
  <c r="K160" i="15" s="1"/>
  <c r="H74" i="15"/>
  <c r="H160" i="15" s="1"/>
  <c r="G74" i="15"/>
  <c r="G160" i="15" s="1"/>
  <c r="F74" i="15"/>
  <c r="F160" i="15" s="1"/>
  <c r="D74" i="15"/>
  <c r="D160" i="15" s="1"/>
  <c r="K73" i="15"/>
  <c r="K159" i="15" s="1"/>
  <c r="H73" i="15"/>
  <c r="H159" i="15" s="1"/>
  <c r="G73" i="15"/>
  <c r="G159" i="15" s="1"/>
  <c r="F73" i="15"/>
  <c r="F159" i="15" s="1"/>
  <c r="D73" i="15"/>
  <c r="D159" i="15" s="1"/>
  <c r="K72" i="15"/>
  <c r="K158" i="15" s="1"/>
  <c r="H72" i="15"/>
  <c r="H158" i="15" s="1"/>
  <c r="G72" i="15"/>
  <c r="G158" i="15" s="1"/>
  <c r="F72" i="15"/>
  <c r="F158" i="15" s="1"/>
  <c r="D72" i="15"/>
  <c r="D158" i="15" s="1"/>
  <c r="K70" i="15"/>
  <c r="H70" i="15"/>
  <c r="G70" i="15"/>
  <c r="F70" i="15"/>
  <c r="D70" i="15"/>
  <c r="K69" i="15"/>
  <c r="H69" i="15"/>
  <c r="G69" i="15"/>
  <c r="F69" i="15"/>
  <c r="D69" i="15"/>
  <c r="K68" i="15"/>
  <c r="H68" i="15"/>
  <c r="G68" i="15"/>
  <c r="F68" i="15"/>
  <c r="D68" i="15"/>
  <c r="K67" i="15"/>
  <c r="H67" i="15"/>
  <c r="G67" i="15"/>
  <c r="F67" i="15"/>
  <c r="D67" i="15"/>
  <c r="K66" i="15"/>
  <c r="H66" i="15"/>
  <c r="G66" i="15"/>
  <c r="F66" i="15"/>
  <c r="D66" i="15"/>
  <c r="K65" i="15"/>
  <c r="H65" i="15"/>
  <c r="G65" i="15"/>
  <c r="F65" i="15"/>
  <c r="D65" i="15"/>
  <c r="K64" i="15"/>
  <c r="H64" i="15"/>
  <c r="G64" i="15"/>
  <c r="F64" i="15"/>
  <c r="D64" i="15"/>
  <c r="K62" i="15"/>
  <c r="H62" i="15"/>
  <c r="G62" i="15"/>
  <c r="F62" i="15"/>
  <c r="D62" i="15"/>
  <c r="K61" i="15"/>
  <c r="H61" i="15"/>
  <c r="G61" i="15"/>
  <c r="F61" i="15"/>
  <c r="D61" i="15"/>
  <c r="K60" i="15"/>
  <c r="H60" i="15"/>
  <c r="G60" i="15"/>
  <c r="F60" i="15"/>
  <c r="D60" i="15"/>
  <c r="K59" i="15"/>
  <c r="H59" i="15"/>
  <c r="G59" i="15"/>
  <c r="F59" i="15"/>
  <c r="D59" i="15"/>
  <c r="K58" i="15"/>
  <c r="H58" i="15"/>
  <c r="G58" i="15"/>
  <c r="F58" i="15"/>
  <c r="D58" i="15"/>
  <c r="K57" i="15"/>
  <c r="H57" i="15"/>
  <c r="G57" i="15"/>
  <c r="F57" i="15"/>
  <c r="D57" i="15"/>
  <c r="K55" i="15"/>
  <c r="K156" i="15" s="1"/>
  <c r="H55" i="15"/>
  <c r="H156" i="15" s="1"/>
  <c r="G55" i="15"/>
  <c r="G156" i="15" s="1"/>
  <c r="F55" i="15"/>
  <c r="F156" i="15" s="1"/>
  <c r="D55" i="15"/>
  <c r="D156" i="15" s="1"/>
  <c r="K54" i="15"/>
  <c r="K155" i="15" s="1"/>
  <c r="H54" i="15"/>
  <c r="H155" i="15" s="1"/>
  <c r="G54" i="15"/>
  <c r="G155" i="15" s="1"/>
  <c r="F54" i="15"/>
  <c r="F155" i="15" s="1"/>
  <c r="D54" i="15"/>
  <c r="D155" i="15" s="1"/>
  <c r="K53" i="15"/>
  <c r="K154" i="15" s="1"/>
  <c r="H53" i="15"/>
  <c r="H154" i="15" s="1"/>
  <c r="G53" i="15"/>
  <c r="G154" i="15" s="1"/>
  <c r="F53" i="15"/>
  <c r="F154" i="15" s="1"/>
  <c r="D53" i="15"/>
  <c r="D154" i="15" s="1"/>
  <c r="K52" i="15"/>
  <c r="K153" i="15" s="1"/>
  <c r="H52" i="15"/>
  <c r="H153" i="15" s="1"/>
  <c r="G52" i="15"/>
  <c r="G153" i="15" s="1"/>
  <c r="F52" i="15"/>
  <c r="F153" i="15" s="1"/>
  <c r="D52" i="15"/>
  <c r="D153" i="15" s="1"/>
  <c r="K51" i="15"/>
  <c r="K152" i="15" s="1"/>
  <c r="H51" i="15"/>
  <c r="H152" i="15" s="1"/>
  <c r="G51" i="15"/>
  <c r="G152" i="15" s="1"/>
  <c r="F51" i="15"/>
  <c r="F152" i="15" s="1"/>
  <c r="D51" i="15"/>
  <c r="D152" i="15" s="1"/>
  <c r="K50" i="15"/>
  <c r="K151" i="15" s="1"/>
  <c r="H50" i="15"/>
  <c r="H151" i="15" s="1"/>
  <c r="G50" i="15"/>
  <c r="G151" i="15" s="1"/>
  <c r="F50" i="15"/>
  <c r="F151" i="15" s="1"/>
  <c r="D50" i="15"/>
  <c r="D151" i="15" s="1"/>
  <c r="K48" i="15"/>
  <c r="H48" i="15"/>
  <c r="G48" i="15"/>
  <c r="F48" i="15"/>
  <c r="D48" i="15"/>
  <c r="K47" i="15"/>
  <c r="H47" i="15"/>
  <c r="G47" i="15"/>
  <c r="F47" i="15"/>
  <c r="D47" i="15"/>
  <c r="K46" i="15"/>
  <c r="H46" i="15"/>
  <c r="G46" i="15"/>
  <c r="F46" i="15"/>
  <c r="D46" i="15"/>
  <c r="K45" i="15"/>
  <c r="H45" i="15"/>
  <c r="G45" i="15"/>
  <c r="F45" i="15"/>
  <c r="D45" i="15"/>
  <c r="K44" i="15"/>
  <c r="H44" i="15"/>
  <c r="G44" i="15"/>
  <c r="F44" i="15"/>
  <c r="D44" i="15"/>
  <c r="K43" i="15"/>
  <c r="H43" i="15"/>
  <c r="G43" i="15"/>
  <c r="F43" i="15"/>
  <c r="D43" i="15"/>
  <c r="K41" i="15"/>
  <c r="H41" i="15"/>
  <c r="G41" i="15"/>
  <c r="F41" i="15"/>
  <c r="D41" i="15"/>
  <c r="K40" i="15"/>
  <c r="H40" i="15"/>
  <c r="G40" i="15"/>
  <c r="F40" i="15"/>
  <c r="D40" i="15"/>
  <c r="K39" i="15"/>
  <c r="H39" i="15"/>
  <c r="G39" i="15"/>
  <c r="F39" i="15"/>
  <c r="D39" i="15"/>
  <c r="K38" i="15"/>
  <c r="H38" i="15"/>
  <c r="G38" i="15"/>
  <c r="F38" i="15"/>
  <c r="D38" i="15"/>
  <c r="K37" i="15"/>
  <c r="H37" i="15"/>
  <c r="G37" i="15"/>
  <c r="F37" i="15"/>
  <c r="D37" i="15"/>
  <c r="K36" i="15"/>
  <c r="H36" i="15"/>
  <c r="G36" i="15"/>
  <c r="F36" i="15"/>
  <c r="D36" i="15"/>
  <c r="K34" i="15"/>
  <c r="K149" i="15" s="1"/>
  <c r="H34" i="15"/>
  <c r="H149" i="15" s="1"/>
  <c r="G34" i="15"/>
  <c r="G149" i="15" s="1"/>
  <c r="F34" i="15"/>
  <c r="F149" i="15" s="1"/>
  <c r="D34" i="15"/>
  <c r="D149" i="15" s="1"/>
  <c r="K33" i="15"/>
  <c r="K148" i="15" s="1"/>
  <c r="H33" i="15"/>
  <c r="H148" i="15" s="1"/>
  <c r="G33" i="15"/>
  <c r="G148" i="15" s="1"/>
  <c r="F33" i="15"/>
  <c r="F148" i="15" s="1"/>
  <c r="D33" i="15"/>
  <c r="D148" i="15" s="1"/>
  <c r="K32" i="15"/>
  <c r="K147" i="15" s="1"/>
  <c r="H32" i="15"/>
  <c r="H147" i="15" s="1"/>
  <c r="G32" i="15"/>
  <c r="G147" i="15" s="1"/>
  <c r="F32" i="15"/>
  <c r="F147" i="15" s="1"/>
  <c r="D32" i="15"/>
  <c r="D147" i="15" s="1"/>
  <c r="K31" i="15"/>
  <c r="K146" i="15" s="1"/>
  <c r="H31" i="15"/>
  <c r="H146" i="15" s="1"/>
  <c r="G31" i="15"/>
  <c r="G146" i="15" s="1"/>
  <c r="F31" i="15"/>
  <c r="F146" i="15" s="1"/>
  <c r="D31" i="15"/>
  <c r="D146" i="15" s="1"/>
  <c r="K30" i="15"/>
  <c r="K145" i="15" s="1"/>
  <c r="H30" i="15"/>
  <c r="H145" i="15" s="1"/>
  <c r="G30" i="15"/>
  <c r="G145" i="15" s="1"/>
  <c r="F30" i="15"/>
  <c r="F145" i="15" s="1"/>
  <c r="D30" i="15"/>
  <c r="D145" i="15" s="1"/>
  <c r="K29" i="15"/>
  <c r="K144" i="15" s="1"/>
  <c r="H29" i="15"/>
  <c r="H144" i="15" s="1"/>
  <c r="G29" i="15"/>
  <c r="G144" i="15" s="1"/>
  <c r="F29" i="15"/>
  <c r="F144" i="15" s="1"/>
  <c r="D29" i="15"/>
  <c r="D144" i="15" s="1"/>
  <c r="K27" i="15"/>
  <c r="H27" i="15"/>
  <c r="G27" i="15"/>
  <c r="F27" i="15"/>
  <c r="D27" i="15"/>
  <c r="K26" i="15"/>
  <c r="H26" i="15"/>
  <c r="G26" i="15"/>
  <c r="F26" i="15"/>
  <c r="D26" i="15"/>
  <c r="K25" i="15"/>
  <c r="H25" i="15"/>
  <c r="G25" i="15"/>
  <c r="F25" i="15"/>
  <c r="D25" i="15"/>
  <c r="K24" i="15"/>
  <c r="H24" i="15"/>
  <c r="G24" i="15"/>
  <c r="F24" i="15"/>
  <c r="D24" i="15"/>
  <c r="K23" i="15"/>
  <c r="H23" i="15"/>
  <c r="G23" i="15"/>
  <c r="F23" i="15"/>
  <c r="D23" i="15"/>
  <c r="K22" i="15"/>
  <c r="H22" i="15"/>
  <c r="G22" i="15"/>
  <c r="F22" i="15"/>
  <c r="D22" i="15"/>
  <c r="K20" i="15"/>
  <c r="H20" i="15"/>
  <c r="G20" i="15"/>
  <c r="F20" i="15"/>
  <c r="D20" i="15"/>
  <c r="K19" i="15"/>
  <c r="H19" i="15"/>
  <c r="G19" i="15"/>
  <c r="F19" i="15"/>
  <c r="D19" i="15"/>
  <c r="K18" i="15"/>
  <c r="H18" i="15"/>
  <c r="G18" i="15"/>
  <c r="F18" i="15"/>
  <c r="D18" i="15"/>
  <c r="K17" i="15"/>
  <c r="H17" i="15"/>
  <c r="G17" i="15"/>
  <c r="F17" i="15"/>
  <c r="D17" i="15"/>
  <c r="K16" i="15"/>
  <c r="H16" i="15"/>
  <c r="G16" i="15"/>
  <c r="F16" i="15"/>
  <c r="D16" i="15"/>
  <c r="K15" i="15"/>
  <c r="H15" i="15"/>
  <c r="G15" i="15"/>
  <c r="F15" i="15"/>
  <c r="D15" i="15"/>
  <c r="K13" i="15"/>
  <c r="K142" i="15" s="1"/>
  <c r="H13" i="15"/>
  <c r="H142" i="15" s="1"/>
  <c r="G13" i="15"/>
  <c r="G142" i="15" s="1"/>
  <c r="F13" i="15"/>
  <c r="F142" i="15" s="1"/>
  <c r="D13" i="15"/>
  <c r="D142" i="15" s="1"/>
  <c r="K12" i="15"/>
  <c r="K141" i="15" s="1"/>
  <c r="H12" i="15"/>
  <c r="H141" i="15" s="1"/>
  <c r="G12" i="15"/>
  <c r="G141" i="15" s="1"/>
  <c r="F12" i="15"/>
  <c r="F141" i="15" s="1"/>
  <c r="D12" i="15"/>
  <c r="D141" i="15" s="1"/>
  <c r="K11" i="15"/>
  <c r="K140" i="15" s="1"/>
  <c r="H11" i="15"/>
  <c r="H140" i="15" s="1"/>
  <c r="G11" i="15"/>
  <c r="G140" i="15" s="1"/>
  <c r="F11" i="15"/>
  <c r="F140" i="15" s="1"/>
  <c r="D11" i="15"/>
  <c r="D140" i="15" s="1"/>
  <c r="K10" i="15"/>
  <c r="K139" i="15" s="1"/>
  <c r="H10" i="15"/>
  <c r="H139" i="15" s="1"/>
  <c r="G10" i="15"/>
  <c r="G139" i="15" s="1"/>
  <c r="F10" i="15"/>
  <c r="F139" i="15" s="1"/>
  <c r="D10" i="15"/>
  <c r="D139" i="15" s="1"/>
  <c r="K9" i="15"/>
  <c r="K138" i="15" s="1"/>
  <c r="H9" i="15"/>
  <c r="H138" i="15" s="1"/>
  <c r="G9" i="15"/>
  <c r="G138" i="15" s="1"/>
  <c r="F9" i="15"/>
  <c r="F138" i="15" s="1"/>
  <c r="D9" i="15"/>
  <c r="D138" i="15" s="1"/>
  <c r="K8" i="15"/>
  <c r="H8" i="15"/>
  <c r="G8" i="15"/>
  <c r="F8" i="15"/>
  <c r="D8" i="15"/>
  <c r="B4" i="15"/>
  <c r="B3" i="15"/>
  <c r="C77" i="14"/>
  <c r="K60" i="14"/>
  <c r="F60" i="14"/>
  <c r="K59" i="14"/>
  <c r="I59" i="14"/>
  <c r="H59" i="14"/>
  <c r="G59" i="14"/>
  <c r="F59" i="14"/>
  <c r="K58" i="14"/>
  <c r="H58" i="14"/>
  <c r="G58" i="14"/>
  <c r="E58" i="14"/>
  <c r="D58" i="14"/>
  <c r="J57" i="14"/>
  <c r="I57" i="14"/>
  <c r="H57" i="14"/>
  <c r="G57" i="14"/>
  <c r="F57" i="14"/>
  <c r="E57" i="14"/>
  <c r="D57" i="14"/>
  <c r="K56" i="14"/>
  <c r="F56" i="14"/>
  <c r="E56" i="14"/>
  <c r="D56" i="14"/>
  <c r="K55" i="14"/>
  <c r="G55" i="14"/>
  <c r="F55" i="14"/>
  <c r="H54" i="14"/>
  <c r="F54" i="14"/>
  <c r="E54" i="14"/>
  <c r="D54" i="14"/>
  <c r="K53" i="14"/>
  <c r="K46" i="14"/>
  <c r="H46" i="14"/>
  <c r="G46" i="14"/>
  <c r="F46" i="14"/>
  <c r="D46" i="14"/>
  <c r="K24" i="14"/>
  <c r="H24" i="14"/>
  <c r="G24" i="14"/>
  <c r="F24" i="14"/>
  <c r="D24" i="14"/>
  <c r="K23" i="14"/>
  <c r="H23" i="14"/>
  <c r="G23" i="14"/>
  <c r="F23" i="14"/>
  <c r="D23" i="14"/>
  <c r="K22" i="14"/>
  <c r="H22" i="14"/>
  <c r="G22" i="14"/>
  <c r="F22" i="14"/>
  <c r="D22" i="14"/>
  <c r="K21" i="14"/>
  <c r="H21" i="14"/>
  <c r="G21" i="14"/>
  <c r="F21" i="14"/>
  <c r="D21" i="14"/>
  <c r="K20" i="14"/>
  <c r="H20" i="14"/>
  <c r="G20" i="14"/>
  <c r="F20" i="14"/>
  <c r="D20" i="14"/>
  <c r="C4" i="14"/>
  <c r="C3" i="14"/>
  <c r="C87" i="13"/>
  <c r="C85" i="13"/>
  <c r="B85" i="13"/>
  <c r="C83" i="13"/>
  <c r="C82" i="13"/>
  <c r="B82" i="13"/>
  <c r="C81" i="13"/>
  <c r="B81" i="13"/>
  <c r="C80" i="13"/>
  <c r="B80" i="13"/>
  <c r="C79" i="13"/>
  <c r="B79" i="13"/>
  <c r="C78" i="13"/>
  <c r="B78" i="13"/>
  <c r="C77" i="13"/>
  <c r="B77" i="13"/>
  <c r="C75" i="13"/>
  <c r="C74" i="13"/>
  <c r="B74" i="13"/>
  <c r="C73" i="13"/>
  <c r="B73" i="13"/>
  <c r="C72" i="13"/>
  <c r="B72" i="13"/>
  <c r="C71" i="13"/>
  <c r="B71" i="13"/>
  <c r="C70" i="13"/>
  <c r="B70" i="13"/>
  <c r="C68" i="13"/>
  <c r="C67" i="13"/>
  <c r="B67" i="13"/>
  <c r="C66" i="13"/>
  <c r="B66" i="13"/>
  <c r="C65" i="13"/>
  <c r="B65" i="13"/>
  <c r="C64" i="13"/>
  <c r="B64" i="13"/>
  <c r="C63" i="13"/>
  <c r="B63" i="13"/>
  <c r="C62" i="13"/>
  <c r="B62" i="13"/>
  <c r="C61" i="13"/>
  <c r="B61" i="13"/>
  <c r="C60" i="13"/>
  <c r="B60" i="13"/>
  <c r="C58" i="13"/>
  <c r="C57" i="13"/>
  <c r="B57" i="13"/>
  <c r="C56" i="13"/>
  <c r="B56" i="13"/>
  <c r="C55" i="13"/>
  <c r="B55" i="13"/>
  <c r="C54" i="13"/>
  <c r="B54" i="13"/>
  <c r="C53" i="13"/>
  <c r="B53" i="13"/>
  <c r="C52" i="13"/>
  <c r="B52" i="13"/>
  <c r="C51" i="13"/>
  <c r="B51" i="13"/>
  <c r="C49" i="13"/>
  <c r="C48" i="13"/>
  <c r="B48" i="13"/>
  <c r="C47" i="13"/>
  <c r="B47" i="13"/>
  <c r="C46" i="13"/>
  <c r="B46" i="13"/>
  <c r="C45" i="13"/>
  <c r="B45" i="13"/>
  <c r="C44" i="13"/>
  <c r="B44" i="13"/>
  <c r="C43" i="13"/>
  <c r="B43" i="13"/>
  <c r="C42" i="13"/>
  <c r="B42" i="13"/>
  <c r="C41" i="13"/>
  <c r="B41" i="13"/>
  <c r="C40" i="13"/>
  <c r="B40" i="13"/>
  <c r="C39" i="13"/>
  <c r="B39" i="13"/>
  <c r="C38" i="13"/>
  <c r="B38" i="13"/>
  <c r="C37" i="13"/>
  <c r="B37" i="13"/>
  <c r="C36" i="13"/>
  <c r="B36" i="13"/>
  <c r="C35" i="13"/>
  <c r="B35" i="13"/>
  <c r="C34" i="13"/>
  <c r="B34" i="13"/>
  <c r="C33" i="13"/>
  <c r="B33" i="13"/>
  <c r="C32" i="13"/>
  <c r="B32" i="13"/>
  <c r="C31" i="13"/>
  <c r="B31" i="13"/>
  <c r="C30" i="13"/>
  <c r="B30" i="13"/>
  <c r="C29" i="13"/>
  <c r="B29" i="13"/>
  <c r="C28" i="13"/>
  <c r="B28" i="13"/>
  <c r="C27" i="13"/>
  <c r="B27" i="13"/>
  <c r="C26" i="13"/>
  <c r="B26" i="13"/>
  <c r="C25" i="13"/>
  <c r="B25" i="13"/>
  <c r="C23" i="13"/>
  <c r="C22" i="13"/>
  <c r="B22" i="13"/>
  <c r="C21" i="13"/>
  <c r="B21" i="13"/>
  <c r="C20" i="13"/>
  <c r="B20" i="13"/>
  <c r="C19" i="13"/>
  <c r="B19" i="13"/>
  <c r="C18" i="13"/>
  <c r="B18" i="13"/>
  <c r="C17" i="13"/>
  <c r="B17" i="13"/>
  <c r="C16" i="13"/>
  <c r="B16" i="13"/>
  <c r="C15" i="13"/>
  <c r="B15" i="13"/>
  <c r="C14" i="13"/>
  <c r="B14" i="13"/>
  <c r="C13" i="13"/>
  <c r="B13" i="13"/>
  <c r="C12" i="13"/>
  <c r="B12" i="13"/>
  <c r="C11" i="13"/>
  <c r="B11" i="13"/>
  <c r="C9" i="13"/>
  <c r="B4" i="13"/>
  <c r="B3" i="13"/>
  <c r="K87" i="12"/>
  <c r="H87" i="12"/>
  <c r="G87" i="12"/>
  <c r="F87" i="12"/>
  <c r="D87" i="12"/>
  <c r="C87" i="12"/>
  <c r="K85" i="12"/>
  <c r="H85" i="12"/>
  <c r="G85" i="12"/>
  <c r="F85" i="12"/>
  <c r="D85" i="12"/>
  <c r="C85" i="12"/>
  <c r="B85" i="12"/>
  <c r="K83" i="12"/>
  <c r="H83" i="12"/>
  <c r="G83" i="12"/>
  <c r="F83" i="12"/>
  <c r="D83" i="12"/>
  <c r="C83" i="12"/>
  <c r="K82" i="12"/>
  <c r="H82" i="12"/>
  <c r="G82" i="12"/>
  <c r="F82" i="12"/>
  <c r="D82" i="12"/>
  <c r="C82" i="12"/>
  <c r="B82" i="12"/>
  <c r="K81" i="12"/>
  <c r="H81" i="12"/>
  <c r="G81" i="12"/>
  <c r="F81" i="12"/>
  <c r="D81" i="12"/>
  <c r="C81" i="12"/>
  <c r="B81" i="12"/>
  <c r="K80" i="12"/>
  <c r="H80" i="12"/>
  <c r="G80" i="12"/>
  <c r="F80" i="12"/>
  <c r="D80" i="12"/>
  <c r="C80" i="12"/>
  <c r="B80" i="12"/>
  <c r="K79" i="12"/>
  <c r="H79" i="12"/>
  <c r="G79" i="12"/>
  <c r="F79" i="12"/>
  <c r="D79" i="12"/>
  <c r="C79" i="12"/>
  <c r="B79" i="12"/>
  <c r="K78" i="12"/>
  <c r="H78" i="12"/>
  <c r="G78" i="12"/>
  <c r="F78" i="12"/>
  <c r="D78" i="12"/>
  <c r="C78" i="12"/>
  <c r="B78" i="12"/>
  <c r="K77" i="12"/>
  <c r="H77" i="12"/>
  <c r="G77" i="12"/>
  <c r="F77" i="12"/>
  <c r="D77" i="12"/>
  <c r="C77" i="12"/>
  <c r="B77" i="12"/>
  <c r="K75" i="12"/>
  <c r="H75" i="12"/>
  <c r="G75" i="12"/>
  <c r="F75" i="12"/>
  <c r="D75" i="12"/>
  <c r="C75" i="12"/>
  <c r="K74" i="12"/>
  <c r="H74" i="12"/>
  <c r="G74" i="12"/>
  <c r="F74" i="12"/>
  <c r="D74" i="12"/>
  <c r="C74" i="12"/>
  <c r="B74" i="12"/>
  <c r="K73" i="12"/>
  <c r="H73" i="12"/>
  <c r="G73" i="12"/>
  <c r="F73" i="12"/>
  <c r="D73" i="12"/>
  <c r="C73" i="12"/>
  <c r="B73" i="12"/>
  <c r="K72" i="12"/>
  <c r="H72" i="12"/>
  <c r="G72" i="12"/>
  <c r="F72" i="12"/>
  <c r="D72" i="12"/>
  <c r="C72" i="12"/>
  <c r="B72" i="12"/>
  <c r="K71" i="12"/>
  <c r="H71" i="12"/>
  <c r="G71" i="12"/>
  <c r="F71" i="12"/>
  <c r="D71" i="12"/>
  <c r="C71" i="12"/>
  <c r="B71" i="12"/>
  <c r="K70" i="12"/>
  <c r="H70" i="12"/>
  <c r="G70" i="12"/>
  <c r="F70" i="12"/>
  <c r="D70" i="12"/>
  <c r="C70" i="12"/>
  <c r="B70" i="12"/>
  <c r="K68" i="12"/>
  <c r="H68" i="12"/>
  <c r="G68" i="12"/>
  <c r="F68" i="12"/>
  <c r="D68" i="12"/>
  <c r="C68" i="12"/>
  <c r="K67" i="12"/>
  <c r="H67" i="12"/>
  <c r="G67" i="12"/>
  <c r="F67" i="12"/>
  <c r="D67" i="12"/>
  <c r="C67" i="12"/>
  <c r="B67" i="12"/>
  <c r="K66" i="12"/>
  <c r="H66" i="12"/>
  <c r="G66" i="12"/>
  <c r="F66" i="12"/>
  <c r="D66" i="12"/>
  <c r="C66" i="12"/>
  <c r="B66" i="12"/>
  <c r="K65" i="12"/>
  <c r="H65" i="12"/>
  <c r="G65" i="12"/>
  <c r="F65" i="12"/>
  <c r="D65" i="12"/>
  <c r="C65" i="12"/>
  <c r="B65" i="12"/>
  <c r="K64" i="12"/>
  <c r="H64" i="12"/>
  <c r="G64" i="12"/>
  <c r="F64" i="12"/>
  <c r="D64" i="12"/>
  <c r="C64" i="12"/>
  <c r="B64" i="12"/>
  <c r="K63" i="12"/>
  <c r="H63" i="12"/>
  <c r="G63" i="12"/>
  <c r="F63" i="12"/>
  <c r="D63" i="12"/>
  <c r="C63" i="12"/>
  <c r="B63" i="12"/>
  <c r="K62" i="12"/>
  <c r="H62" i="12"/>
  <c r="G62" i="12"/>
  <c r="F62" i="12"/>
  <c r="D62" i="12"/>
  <c r="C62" i="12"/>
  <c r="B62" i="12"/>
  <c r="K61" i="12"/>
  <c r="H61" i="12"/>
  <c r="G61" i="12"/>
  <c r="F61" i="12"/>
  <c r="D61" i="12"/>
  <c r="C61" i="12"/>
  <c r="B61" i="12"/>
  <c r="K60" i="12"/>
  <c r="H60" i="12"/>
  <c r="G60" i="12"/>
  <c r="F60" i="12"/>
  <c r="D60" i="12"/>
  <c r="C60" i="12"/>
  <c r="B60" i="12"/>
  <c r="K58" i="12"/>
  <c r="H58" i="12"/>
  <c r="G58" i="12"/>
  <c r="F58" i="12"/>
  <c r="D58" i="12"/>
  <c r="C58" i="12"/>
  <c r="K57" i="12"/>
  <c r="H57" i="12"/>
  <c r="G57" i="12"/>
  <c r="F57" i="12"/>
  <c r="D57" i="12"/>
  <c r="C57" i="12"/>
  <c r="B57" i="12"/>
  <c r="K56" i="12"/>
  <c r="H56" i="12"/>
  <c r="G56" i="12"/>
  <c r="F56" i="12"/>
  <c r="D56" i="12"/>
  <c r="C56" i="12"/>
  <c r="B56" i="12"/>
  <c r="K55" i="12"/>
  <c r="H55" i="12"/>
  <c r="G55" i="12"/>
  <c r="F55" i="12"/>
  <c r="D55" i="12"/>
  <c r="C55" i="12"/>
  <c r="B55" i="12"/>
  <c r="K54" i="12"/>
  <c r="H54" i="12"/>
  <c r="G54" i="12"/>
  <c r="F54" i="12"/>
  <c r="D54" i="12"/>
  <c r="C54" i="12"/>
  <c r="B54" i="12"/>
  <c r="K53" i="12"/>
  <c r="H53" i="12"/>
  <c r="G53" i="12"/>
  <c r="F53" i="12"/>
  <c r="D53" i="12"/>
  <c r="C53" i="12"/>
  <c r="B53" i="12"/>
  <c r="K52" i="12"/>
  <c r="H52" i="12"/>
  <c r="G52" i="12"/>
  <c r="F52" i="12"/>
  <c r="D52" i="12"/>
  <c r="C52" i="12"/>
  <c r="B52" i="12"/>
  <c r="K51" i="12"/>
  <c r="H51" i="12"/>
  <c r="G51" i="12"/>
  <c r="F51" i="12"/>
  <c r="D51" i="12"/>
  <c r="C51" i="12"/>
  <c r="B51" i="12"/>
  <c r="K49" i="12"/>
  <c r="H49" i="12"/>
  <c r="G49" i="12"/>
  <c r="F49" i="12"/>
  <c r="D49" i="12"/>
  <c r="C49" i="12"/>
  <c r="K48" i="12"/>
  <c r="H48" i="12"/>
  <c r="G48" i="12"/>
  <c r="F48" i="12"/>
  <c r="D48" i="12"/>
  <c r="C48" i="12"/>
  <c r="B48" i="12"/>
  <c r="K47" i="12"/>
  <c r="H47" i="12"/>
  <c r="G47" i="12"/>
  <c r="F47" i="12"/>
  <c r="D47" i="12"/>
  <c r="C47" i="12"/>
  <c r="B47" i="12"/>
  <c r="K46" i="12"/>
  <c r="H46" i="12"/>
  <c r="G46" i="12"/>
  <c r="F46" i="12"/>
  <c r="D46" i="12"/>
  <c r="C46" i="12"/>
  <c r="B46" i="12"/>
  <c r="K45" i="12"/>
  <c r="H45" i="12"/>
  <c r="G45" i="12"/>
  <c r="F45" i="12"/>
  <c r="D45" i="12"/>
  <c r="C45" i="12"/>
  <c r="B45" i="12"/>
  <c r="K44" i="12"/>
  <c r="H44" i="12"/>
  <c r="G44" i="12"/>
  <c r="F44" i="12"/>
  <c r="D44" i="12"/>
  <c r="C44" i="12"/>
  <c r="B44" i="12"/>
  <c r="K43" i="12"/>
  <c r="H43" i="12"/>
  <c r="G43" i="12"/>
  <c r="F43" i="12"/>
  <c r="D43" i="12"/>
  <c r="C43" i="12"/>
  <c r="B43" i="12"/>
  <c r="K42" i="12"/>
  <c r="H42" i="12"/>
  <c r="G42" i="12"/>
  <c r="F42" i="12"/>
  <c r="D42" i="12"/>
  <c r="C42" i="12"/>
  <c r="B42" i="12"/>
  <c r="K41" i="12"/>
  <c r="H41" i="12"/>
  <c r="G41" i="12"/>
  <c r="F41" i="12"/>
  <c r="D41" i="12"/>
  <c r="C41" i="12"/>
  <c r="B41" i="12"/>
  <c r="K40" i="12"/>
  <c r="H40" i="12"/>
  <c r="G40" i="12"/>
  <c r="F40" i="12"/>
  <c r="D40" i="12"/>
  <c r="C40" i="12"/>
  <c r="B40" i="12"/>
  <c r="K39" i="12"/>
  <c r="H39" i="12"/>
  <c r="G39" i="12"/>
  <c r="F39" i="12"/>
  <c r="D39" i="12"/>
  <c r="C39" i="12"/>
  <c r="B39" i="12"/>
  <c r="K38" i="12"/>
  <c r="H38" i="12"/>
  <c r="G38" i="12"/>
  <c r="F38" i="12"/>
  <c r="D38" i="12"/>
  <c r="C38" i="12"/>
  <c r="B38" i="12"/>
  <c r="K37" i="12"/>
  <c r="H37" i="12"/>
  <c r="G37" i="12"/>
  <c r="F37" i="12"/>
  <c r="D37" i="12"/>
  <c r="C37" i="12"/>
  <c r="B37" i="12"/>
  <c r="K36" i="12"/>
  <c r="H36" i="12"/>
  <c r="G36" i="12"/>
  <c r="F36" i="12"/>
  <c r="D36" i="12"/>
  <c r="C36" i="12"/>
  <c r="B36" i="12"/>
  <c r="K35" i="12"/>
  <c r="H35" i="12"/>
  <c r="G35" i="12"/>
  <c r="F35" i="12"/>
  <c r="D35" i="12"/>
  <c r="C35" i="12"/>
  <c r="B35" i="12"/>
  <c r="K34" i="12"/>
  <c r="H34" i="12"/>
  <c r="G34" i="12"/>
  <c r="F34" i="12"/>
  <c r="D34" i="12"/>
  <c r="C34" i="12"/>
  <c r="B34" i="12"/>
  <c r="K33" i="12"/>
  <c r="H33" i="12"/>
  <c r="G33" i="12"/>
  <c r="F33" i="12"/>
  <c r="D33" i="12"/>
  <c r="C33" i="12"/>
  <c r="B33" i="12"/>
  <c r="K32" i="12"/>
  <c r="H32" i="12"/>
  <c r="G32" i="12"/>
  <c r="F32" i="12"/>
  <c r="D32" i="12"/>
  <c r="C32" i="12"/>
  <c r="B32" i="12"/>
  <c r="K31" i="12"/>
  <c r="H31" i="12"/>
  <c r="G31" i="12"/>
  <c r="F31" i="12"/>
  <c r="D31" i="12"/>
  <c r="C31" i="12"/>
  <c r="B31" i="12"/>
  <c r="K30" i="12"/>
  <c r="H30" i="12"/>
  <c r="G30" i="12"/>
  <c r="F30" i="12"/>
  <c r="D30" i="12"/>
  <c r="C30" i="12"/>
  <c r="B30" i="12"/>
  <c r="K29" i="12"/>
  <c r="H29" i="12"/>
  <c r="G29" i="12"/>
  <c r="F29" i="12"/>
  <c r="D29" i="12"/>
  <c r="C29" i="12"/>
  <c r="B29" i="12"/>
  <c r="K28" i="12"/>
  <c r="H28" i="12"/>
  <c r="G28" i="12"/>
  <c r="F28" i="12"/>
  <c r="D28" i="12"/>
  <c r="C28" i="12"/>
  <c r="B28" i="12"/>
  <c r="K27" i="12"/>
  <c r="H27" i="12"/>
  <c r="G27" i="12"/>
  <c r="F27" i="12"/>
  <c r="D27" i="12"/>
  <c r="C27" i="12"/>
  <c r="B27" i="12"/>
  <c r="K26" i="12"/>
  <c r="H26" i="12"/>
  <c r="G26" i="12"/>
  <c r="F26" i="12"/>
  <c r="D26" i="12"/>
  <c r="C26" i="12"/>
  <c r="B26" i="12"/>
  <c r="K25" i="12"/>
  <c r="H25" i="12"/>
  <c r="G25" i="12"/>
  <c r="F25" i="12"/>
  <c r="D25" i="12"/>
  <c r="C25" i="12"/>
  <c r="B25" i="12"/>
  <c r="K23" i="12"/>
  <c r="H23" i="12"/>
  <c r="G23" i="12"/>
  <c r="F23" i="12"/>
  <c r="D23" i="12"/>
  <c r="C23" i="12"/>
  <c r="K22" i="12"/>
  <c r="H22" i="12"/>
  <c r="G22" i="12"/>
  <c r="F22" i="12"/>
  <c r="D22" i="12"/>
  <c r="C22" i="12"/>
  <c r="B22" i="12"/>
  <c r="K21" i="12"/>
  <c r="H21" i="12"/>
  <c r="G21" i="12"/>
  <c r="F21" i="12"/>
  <c r="D21" i="12"/>
  <c r="C21" i="12"/>
  <c r="B21" i="12"/>
  <c r="K20" i="12"/>
  <c r="H20" i="12"/>
  <c r="G20" i="12"/>
  <c r="F20" i="12"/>
  <c r="D20" i="12"/>
  <c r="C20" i="12"/>
  <c r="B20" i="12"/>
  <c r="K19" i="12"/>
  <c r="H19" i="12"/>
  <c r="G19" i="12"/>
  <c r="F19" i="12"/>
  <c r="D19" i="12"/>
  <c r="C19" i="12"/>
  <c r="B19" i="12"/>
  <c r="K18" i="12"/>
  <c r="H18" i="12"/>
  <c r="G18" i="12"/>
  <c r="F18" i="12"/>
  <c r="D18" i="12"/>
  <c r="C18" i="12"/>
  <c r="B18" i="12"/>
  <c r="K17" i="12"/>
  <c r="H17" i="12"/>
  <c r="G17" i="12"/>
  <c r="F17" i="12"/>
  <c r="D17" i="12"/>
  <c r="C17" i="12"/>
  <c r="B17" i="12"/>
  <c r="K16" i="12"/>
  <c r="H16" i="12"/>
  <c r="G16" i="12"/>
  <c r="F16" i="12"/>
  <c r="D16" i="12"/>
  <c r="C16" i="12"/>
  <c r="B16" i="12"/>
  <c r="K15" i="12"/>
  <c r="H15" i="12"/>
  <c r="G15" i="12"/>
  <c r="F15" i="12"/>
  <c r="D15" i="12"/>
  <c r="C15" i="12"/>
  <c r="B15" i="12"/>
  <c r="K14" i="12"/>
  <c r="H14" i="12"/>
  <c r="G14" i="12"/>
  <c r="F14" i="12"/>
  <c r="D14" i="12"/>
  <c r="C14" i="12"/>
  <c r="B14" i="12"/>
  <c r="K13" i="12"/>
  <c r="H13" i="12"/>
  <c r="G13" i="12"/>
  <c r="F13" i="12"/>
  <c r="D13" i="12"/>
  <c r="C13" i="12"/>
  <c r="B13" i="12"/>
  <c r="K12" i="12"/>
  <c r="H12" i="12"/>
  <c r="G12" i="12"/>
  <c r="F12" i="12"/>
  <c r="D12" i="12"/>
  <c r="C12" i="12"/>
  <c r="B12" i="12"/>
  <c r="K11" i="12"/>
  <c r="H11" i="12"/>
  <c r="G11" i="12"/>
  <c r="F11" i="12"/>
  <c r="D11" i="12"/>
  <c r="C11" i="12"/>
  <c r="B11" i="12"/>
  <c r="K9" i="12"/>
  <c r="K9" i="13" s="1"/>
  <c r="H9" i="12"/>
  <c r="H9" i="13" s="1"/>
  <c r="G9" i="12"/>
  <c r="G9" i="13" s="1"/>
  <c r="F9" i="12"/>
  <c r="F9" i="13" s="1"/>
  <c r="D9" i="12"/>
  <c r="D9" i="13" s="1"/>
  <c r="C9" i="12"/>
  <c r="B4" i="12"/>
  <c r="B3" i="12"/>
  <c r="C70" i="11"/>
  <c r="B70" i="11"/>
  <c r="C67" i="11"/>
  <c r="B67" i="11"/>
  <c r="C66" i="11"/>
  <c r="B66" i="11"/>
  <c r="C65" i="11"/>
  <c r="B65" i="11"/>
  <c r="C64" i="11"/>
  <c r="B64" i="11"/>
  <c r="C63" i="11"/>
  <c r="B63" i="11"/>
  <c r="C62" i="11"/>
  <c r="B62" i="11"/>
  <c r="C61" i="11"/>
  <c r="B61" i="11"/>
  <c r="C60" i="11"/>
  <c r="B60" i="11"/>
  <c r="C59" i="11"/>
  <c r="B59" i="11"/>
  <c r="C58" i="11"/>
  <c r="B58" i="11"/>
  <c r="C57" i="11"/>
  <c r="B57" i="11"/>
  <c r="C56" i="11"/>
  <c r="B56" i="11"/>
  <c r="C55" i="11"/>
  <c r="B55" i="11"/>
  <c r="C54" i="11"/>
  <c r="B54" i="11"/>
  <c r="C53" i="11"/>
  <c r="B53" i="11"/>
  <c r="C52" i="11"/>
  <c r="B52" i="11"/>
  <c r="C51" i="11"/>
  <c r="B51" i="11"/>
  <c r="C50" i="11"/>
  <c r="B50" i="11"/>
  <c r="C47" i="11"/>
  <c r="B47" i="11"/>
  <c r="C46" i="11"/>
  <c r="B46" i="11"/>
  <c r="C45" i="11"/>
  <c r="B45" i="11"/>
  <c r="C44" i="11"/>
  <c r="B44" i="11"/>
  <c r="C43" i="11"/>
  <c r="B43" i="11"/>
  <c r="C42" i="11"/>
  <c r="B42" i="11"/>
  <c r="C41" i="11"/>
  <c r="B41" i="11"/>
  <c r="C40" i="11"/>
  <c r="B40" i="11"/>
  <c r="C39" i="11"/>
  <c r="B39" i="11"/>
  <c r="C38" i="11"/>
  <c r="B38" i="11"/>
  <c r="C37" i="11"/>
  <c r="B37" i="11"/>
  <c r="C36" i="11"/>
  <c r="B36" i="11"/>
  <c r="C35" i="11"/>
  <c r="B35" i="11"/>
  <c r="C34" i="11"/>
  <c r="B34" i="11"/>
  <c r="C33" i="11"/>
  <c r="B33" i="11"/>
  <c r="C32" i="11"/>
  <c r="B32" i="11"/>
  <c r="C31" i="11"/>
  <c r="B31" i="11"/>
  <c r="C30" i="11"/>
  <c r="B30" i="11"/>
  <c r="C27" i="11"/>
  <c r="B27" i="11"/>
  <c r="C26" i="11"/>
  <c r="B26" i="11"/>
  <c r="C25" i="11"/>
  <c r="B25" i="11"/>
  <c r="C24" i="11"/>
  <c r="B24" i="11"/>
  <c r="C23" i="11"/>
  <c r="B23" i="11"/>
  <c r="C22" i="11"/>
  <c r="B22" i="11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B11" i="11"/>
  <c r="C10" i="11"/>
  <c r="B10" i="11"/>
  <c r="B3" i="11"/>
  <c r="B2" i="11"/>
  <c r="K70" i="10"/>
  <c r="H70" i="10"/>
  <c r="G70" i="10"/>
  <c r="F70" i="10"/>
  <c r="D70" i="10"/>
  <c r="C70" i="10"/>
  <c r="B70" i="10"/>
  <c r="K67" i="10"/>
  <c r="H67" i="10"/>
  <c r="G67" i="10"/>
  <c r="F67" i="10"/>
  <c r="D67" i="10"/>
  <c r="C67" i="10"/>
  <c r="B67" i="10"/>
  <c r="K66" i="10"/>
  <c r="H66" i="10"/>
  <c r="G66" i="10"/>
  <c r="F66" i="10"/>
  <c r="D66" i="10"/>
  <c r="C66" i="10"/>
  <c r="B66" i="10"/>
  <c r="K65" i="10"/>
  <c r="H65" i="10"/>
  <c r="G65" i="10"/>
  <c r="F65" i="10"/>
  <c r="D65" i="10"/>
  <c r="C65" i="10"/>
  <c r="B65" i="10"/>
  <c r="K64" i="10"/>
  <c r="H64" i="10"/>
  <c r="G64" i="10"/>
  <c r="F64" i="10"/>
  <c r="D64" i="10"/>
  <c r="C64" i="10"/>
  <c r="B64" i="10"/>
  <c r="K63" i="10"/>
  <c r="H63" i="10"/>
  <c r="G63" i="10"/>
  <c r="F63" i="10"/>
  <c r="D63" i="10"/>
  <c r="C63" i="10"/>
  <c r="B63" i="10"/>
  <c r="K62" i="10"/>
  <c r="H62" i="10"/>
  <c r="G62" i="10"/>
  <c r="F62" i="10"/>
  <c r="D62" i="10"/>
  <c r="C62" i="10"/>
  <c r="B62" i="10"/>
  <c r="K61" i="10"/>
  <c r="H61" i="10"/>
  <c r="G61" i="10"/>
  <c r="F61" i="10"/>
  <c r="D61" i="10"/>
  <c r="C61" i="10"/>
  <c r="B61" i="10"/>
  <c r="K60" i="10"/>
  <c r="H60" i="10"/>
  <c r="G60" i="10"/>
  <c r="F60" i="10"/>
  <c r="D60" i="10"/>
  <c r="C60" i="10"/>
  <c r="B60" i="10"/>
  <c r="K59" i="10"/>
  <c r="H59" i="10"/>
  <c r="G59" i="10"/>
  <c r="F59" i="10"/>
  <c r="D59" i="10"/>
  <c r="C59" i="10"/>
  <c r="B59" i="10"/>
  <c r="K58" i="10"/>
  <c r="H58" i="10"/>
  <c r="G58" i="10"/>
  <c r="F58" i="10"/>
  <c r="D58" i="10"/>
  <c r="C58" i="10"/>
  <c r="B58" i="10"/>
  <c r="K57" i="10"/>
  <c r="H57" i="10"/>
  <c r="G57" i="10"/>
  <c r="F57" i="10"/>
  <c r="D57" i="10"/>
  <c r="C57" i="10"/>
  <c r="B57" i="10"/>
  <c r="K56" i="10"/>
  <c r="H56" i="10"/>
  <c r="G56" i="10"/>
  <c r="F56" i="10"/>
  <c r="D56" i="10"/>
  <c r="C56" i="10"/>
  <c r="B56" i="10"/>
  <c r="K55" i="10"/>
  <c r="H55" i="10"/>
  <c r="G55" i="10"/>
  <c r="F55" i="10"/>
  <c r="D55" i="10"/>
  <c r="C55" i="10"/>
  <c r="B55" i="10"/>
  <c r="K54" i="10"/>
  <c r="H54" i="10"/>
  <c r="G54" i="10"/>
  <c r="F54" i="10"/>
  <c r="D54" i="10"/>
  <c r="C54" i="10"/>
  <c r="B54" i="10"/>
  <c r="K53" i="10"/>
  <c r="H53" i="10"/>
  <c r="G53" i="10"/>
  <c r="F53" i="10"/>
  <c r="D53" i="10"/>
  <c r="C53" i="10"/>
  <c r="B53" i="10"/>
  <c r="K52" i="10"/>
  <c r="H52" i="10"/>
  <c r="G52" i="10"/>
  <c r="F52" i="10"/>
  <c r="D52" i="10"/>
  <c r="C52" i="10"/>
  <c r="B52" i="10"/>
  <c r="K51" i="10"/>
  <c r="H51" i="10"/>
  <c r="G51" i="10"/>
  <c r="F51" i="10"/>
  <c r="D51" i="10"/>
  <c r="C51" i="10"/>
  <c r="B51" i="10"/>
  <c r="K50" i="10"/>
  <c r="H50" i="10"/>
  <c r="G50" i="10"/>
  <c r="F50" i="10"/>
  <c r="D50" i="10"/>
  <c r="C50" i="10"/>
  <c r="B50" i="10"/>
  <c r="K47" i="10"/>
  <c r="H47" i="10"/>
  <c r="G47" i="10"/>
  <c r="F47" i="10"/>
  <c r="D47" i="10"/>
  <c r="C47" i="10"/>
  <c r="B47" i="10"/>
  <c r="K46" i="10"/>
  <c r="H46" i="10"/>
  <c r="G46" i="10"/>
  <c r="F46" i="10"/>
  <c r="D46" i="10"/>
  <c r="C46" i="10"/>
  <c r="B46" i="10"/>
  <c r="K45" i="10"/>
  <c r="H45" i="10"/>
  <c r="G45" i="10"/>
  <c r="F45" i="10"/>
  <c r="D45" i="10"/>
  <c r="C45" i="10"/>
  <c r="B45" i="10"/>
  <c r="K44" i="10"/>
  <c r="H44" i="10"/>
  <c r="G44" i="10"/>
  <c r="F44" i="10"/>
  <c r="D44" i="10"/>
  <c r="C44" i="10"/>
  <c r="B44" i="10"/>
  <c r="K43" i="10"/>
  <c r="H43" i="10"/>
  <c r="G43" i="10"/>
  <c r="F43" i="10"/>
  <c r="D43" i="10"/>
  <c r="C43" i="10"/>
  <c r="B43" i="10"/>
  <c r="K42" i="10"/>
  <c r="H42" i="10"/>
  <c r="G42" i="10"/>
  <c r="F42" i="10"/>
  <c r="D42" i="10"/>
  <c r="C42" i="10"/>
  <c r="B42" i="10"/>
  <c r="K41" i="10"/>
  <c r="H41" i="10"/>
  <c r="G41" i="10"/>
  <c r="F41" i="10"/>
  <c r="D41" i="10"/>
  <c r="C41" i="10"/>
  <c r="B41" i="10"/>
  <c r="K40" i="10"/>
  <c r="H40" i="10"/>
  <c r="G40" i="10"/>
  <c r="F40" i="10"/>
  <c r="D40" i="10"/>
  <c r="C40" i="10"/>
  <c r="B40" i="10"/>
  <c r="K39" i="10"/>
  <c r="H39" i="10"/>
  <c r="G39" i="10"/>
  <c r="F39" i="10"/>
  <c r="D39" i="10"/>
  <c r="C39" i="10"/>
  <c r="B39" i="10"/>
  <c r="K38" i="10"/>
  <c r="H38" i="10"/>
  <c r="G38" i="10"/>
  <c r="F38" i="10"/>
  <c r="D38" i="10"/>
  <c r="C38" i="10"/>
  <c r="B38" i="10"/>
  <c r="K37" i="10"/>
  <c r="H37" i="10"/>
  <c r="G37" i="10"/>
  <c r="F37" i="10"/>
  <c r="D37" i="10"/>
  <c r="C37" i="10"/>
  <c r="B37" i="10"/>
  <c r="K36" i="10"/>
  <c r="H36" i="10"/>
  <c r="G36" i="10"/>
  <c r="F36" i="10"/>
  <c r="D36" i="10"/>
  <c r="C36" i="10"/>
  <c r="B36" i="10"/>
  <c r="K35" i="10"/>
  <c r="H35" i="10"/>
  <c r="G35" i="10"/>
  <c r="F35" i="10"/>
  <c r="D35" i="10"/>
  <c r="C35" i="10"/>
  <c r="B35" i="10"/>
  <c r="K34" i="10"/>
  <c r="H34" i="10"/>
  <c r="G34" i="10"/>
  <c r="F34" i="10"/>
  <c r="D34" i="10"/>
  <c r="C34" i="10"/>
  <c r="B34" i="10"/>
  <c r="K33" i="10"/>
  <c r="H33" i="10"/>
  <c r="G33" i="10"/>
  <c r="F33" i="10"/>
  <c r="D33" i="10"/>
  <c r="C33" i="10"/>
  <c r="B33" i="10"/>
  <c r="K32" i="10"/>
  <c r="H32" i="10"/>
  <c r="G32" i="10"/>
  <c r="F32" i="10"/>
  <c r="D32" i="10"/>
  <c r="C32" i="10"/>
  <c r="B32" i="10"/>
  <c r="K31" i="10"/>
  <c r="H31" i="10"/>
  <c r="G31" i="10"/>
  <c r="F31" i="10"/>
  <c r="D31" i="10"/>
  <c r="C31" i="10"/>
  <c r="B31" i="10"/>
  <c r="K30" i="10"/>
  <c r="H30" i="10"/>
  <c r="G30" i="10"/>
  <c r="F30" i="10"/>
  <c r="D30" i="10"/>
  <c r="C30" i="10"/>
  <c r="B30" i="10"/>
  <c r="K27" i="10"/>
  <c r="H27" i="10"/>
  <c r="G27" i="10"/>
  <c r="F27" i="10"/>
  <c r="D27" i="10"/>
  <c r="C27" i="10"/>
  <c r="B27" i="10"/>
  <c r="K26" i="10"/>
  <c r="H26" i="10"/>
  <c r="G26" i="10"/>
  <c r="F26" i="10"/>
  <c r="D26" i="10"/>
  <c r="C26" i="10"/>
  <c r="B26" i="10"/>
  <c r="K25" i="10"/>
  <c r="H25" i="10"/>
  <c r="G25" i="10"/>
  <c r="F25" i="10"/>
  <c r="D25" i="10"/>
  <c r="C25" i="10"/>
  <c r="B25" i="10"/>
  <c r="K24" i="10"/>
  <c r="H24" i="10"/>
  <c r="G24" i="10"/>
  <c r="F24" i="10"/>
  <c r="D24" i="10"/>
  <c r="C24" i="10"/>
  <c r="B24" i="10"/>
  <c r="K23" i="10"/>
  <c r="H23" i="10"/>
  <c r="G23" i="10"/>
  <c r="F23" i="10"/>
  <c r="D23" i="10"/>
  <c r="C23" i="10"/>
  <c r="B23" i="10"/>
  <c r="K22" i="10"/>
  <c r="H22" i="10"/>
  <c r="G22" i="10"/>
  <c r="F22" i="10"/>
  <c r="D22" i="10"/>
  <c r="C22" i="10"/>
  <c r="B22" i="10"/>
  <c r="K21" i="10"/>
  <c r="H21" i="10"/>
  <c r="G21" i="10"/>
  <c r="F21" i="10"/>
  <c r="D21" i="10"/>
  <c r="C21" i="10"/>
  <c r="B21" i="10"/>
  <c r="K20" i="10"/>
  <c r="H20" i="10"/>
  <c r="G20" i="10"/>
  <c r="F20" i="10"/>
  <c r="D20" i="10"/>
  <c r="C20" i="10"/>
  <c r="B20" i="10"/>
  <c r="K19" i="10"/>
  <c r="H19" i="10"/>
  <c r="G19" i="10"/>
  <c r="F19" i="10"/>
  <c r="D19" i="10"/>
  <c r="C19" i="10"/>
  <c r="B19" i="10"/>
  <c r="K18" i="10"/>
  <c r="H18" i="10"/>
  <c r="G18" i="10"/>
  <c r="F18" i="10"/>
  <c r="D18" i="10"/>
  <c r="C18" i="10"/>
  <c r="B18" i="10"/>
  <c r="K17" i="10"/>
  <c r="H17" i="10"/>
  <c r="G17" i="10"/>
  <c r="F17" i="10"/>
  <c r="D17" i="10"/>
  <c r="C17" i="10"/>
  <c r="B17" i="10"/>
  <c r="K16" i="10"/>
  <c r="H16" i="10"/>
  <c r="G16" i="10"/>
  <c r="F16" i="10"/>
  <c r="D16" i="10"/>
  <c r="C16" i="10"/>
  <c r="B16" i="10"/>
  <c r="K15" i="10"/>
  <c r="H15" i="10"/>
  <c r="G15" i="10"/>
  <c r="F15" i="10"/>
  <c r="D15" i="10"/>
  <c r="C15" i="10"/>
  <c r="B15" i="10"/>
  <c r="K14" i="10"/>
  <c r="H14" i="10"/>
  <c r="G14" i="10"/>
  <c r="F14" i="10"/>
  <c r="D14" i="10"/>
  <c r="C14" i="10"/>
  <c r="B14" i="10"/>
  <c r="K13" i="10"/>
  <c r="H13" i="10"/>
  <c r="G13" i="10"/>
  <c r="F13" i="10"/>
  <c r="D13" i="10"/>
  <c r="C13" i="10"/>
  <c r="B13" i="10"/>
  <c r="K12" i="10"/>
  <c r="H12" i="10"/>
  <c r="G12" i="10"/>
  <c r="F12" i="10"/>
  <c r="D12" i="10"/>
  <c r="C12" i="10"/>
  <c r="B12" i="10"/>
  <c r="K11" i="10"/>
  <c r="H11" i="10"/>
  <c r="G11" i="10"/>
  <c r="F11" i="10"/>
  <c r="D11" i="10"/>
  <c r="C11" i="10"/>
  <c r="B11" i="10"/>
  <c r="K10" i="10"/>
  <c r="H10" i="10"/>
  <c r="G10" i="10"/>
  <c r="F10" i="10"/>
  <c r="D10" i="10"/>
  <c r="C10" i="10"/>
  <c r="B10" i="10"/>
  <c r="B3" i="10"/>
  <c r="B2" i="10"/>
  <c r="B18" i="8"/>
  <c r="AR18" i="8" s="1"/>
  <c r="AR17" i="8"/>
  <c r="C17" i="8"/>
  <c r="D17" i="8" s="1"/>
  <c r="B17" i="8"/>
  <c r="AX17" i="8" s="1"/>
  <c r="B15" i="8"/>
  <c r="AR15" i="8" s="1"/>
  <c r="B14" i="8"/>
  <c r="AX14" i="8" s="1"/>
  <c r="B13" i="8"/>
  <c r="AR13" i="8" s="1"/>
  <c r="AF12" i="8"/>
  <c r="C12" i="8"/>
  <c r="D12" i="8" s="1"/>
  <c r="B12" i="8"/>
  <c r="AX12" i="8" s="1"/>
  <c r="J9" i="8"/>
  <c r="I9" i="8"/>
  <c r="O9" i="8" s="1"/>
  <c r="F9" i="8"/>
  <c r="E9" i="8"/>
  <c r="K9" i="8" s="1"/>
  <c r="D9" i="8"/>
  <c r="B4" i="8"/>
  <c r="B3" i="8"/>
  <c r="I66" i="7"/>
  <c r="H66" i="7"/>
  <c r="G66" i="7"/>
  <c r="F66" i="7"/>
  <c r="E66" i="7"/>
  <c r="I65" i="7"/>
  <c r="H65" i="7"/>
  <c r="G65" i="7"/>
  <c r="F65" i="7"/>
  <c r="E65" i="7"/>
  <c r="I64" i="7"/>
  <c r="H64" i="7"/>
  <c r="G64" i="7"/>
  <c r="F64" i="7"/>
  <c r="E64" i="7"/>
  <c r="I63" i="7"/>
  <c r="H63" i="7"/>
  <c r="G63" i="7"/>
  <c r="F63" i="7"/>
  <c r="E63" i="7"/>
  <c r="I62" i="7"/>
  <c r="H62" i="7"/>
  <c r="G62" i="7"/>
  <c r="F62" i="7"/>
  <c r="E62" i="7"/>
  <c r="C210" i="6"/>
  <c r="C209" i="6"/>
  <c r="B209" i="6"/>
  <c r="C208" i="6"/>
  <c r="B208" i="6"/>
  <c r="C207" i="6"/>
  <c r="B207" i="6"/>
  <c r="C206" i="6"/>
  <c r="B206" i="6"/>
  <c r="C205" i="6"/>
  <c r="B205" i="6"/>
  <c r="C204" i="6"/>
  <c r="B204" i="6"/>
  <c r="C203" i="6"/>
  <c r="B203" i="6"/>
  <c r="C202" i="6"/>
  <c r="B202" i="6"/>
  <c r="C201" i="6"/>
  <c r="B201" i="6"/>
  <c r="C200" i="6"/>
  <c r="B200" i="6"/>
  <c r="C199" i="6"/>
  <c r="C195" i="6"/>
  <c r="C194" i="6"/>
  <c r="B194" i="6"/>
  <c r="C193" i="6"/>
  <c r="B193" i="6"/>
  <c r="C192" i="6"/>
  <c r="B192" i="6"/>
  <c r="C191" i="6"/>
  <c r="B191" i="6"/>
  <c r="C190" i="6"/>
  <c r="B190" i="6"/>
  <c r="C189" i="6"/>
  <c r="B189" i="6"/>
  <c r="C188" i="6"/>
  <c r="B188" i="6"/>
  <c r="C187" i="6"/>
  <c r="B187" i="6"/>
  <c r="C186" i="6"/>
  <c r="B186" i="6"/>
  <c r="C185" i="6"/>
  <c r="B185" i="6"/>
  <c r="C184" i="6"/>
  <c r="B184" i="6"/>
  <c r="C183" i="6"/>
  <c r="B183" i="6"/>
  <c r="C182" i="6"/>
  <c r="B182" i="6"/>
  <c r="C181" i="6"/>
  <c r="B181" i="6"/>
  <c r="C180" i="6"/>
  <c r="B180" i="6"/>
  <c r="C179" i="6"/>
  <c r="B179" i="6"/>
  <c r="C178" i="6"/>
  <c r="B178" i="6"/>
  <c r="C177" i="6"/>
  <c r="B177" i="6"/>
  <c r="C176" i="6"/>
  <c r="B176" i="6"/>
  <c r="C175" i="6"/>
  <c r="B175" i="6"/>
  <c r="C174" i="6"/>
  <c r="B174" i="6"/>
  <c r="C173" i="6"/>
  <c r="B173" i="6"/>
  <c r="C172" i="6"/>
  <c r="B172" i="6"/>
  <c r="C171" i="6"/>
  <c r="B171" i="6"/>
  <c r="C170" i="6"/>
  <c r="B170" i="6"/>
  <c r="C169" i="6"/>
  <c r="B169" i="6"/>
  <c r="C168" i="6"/>
  <c r="B168" i="6"/>
  <c r="C167" i="6"/>
  <c r="B167" i="6"/>
  <c r="C166" i="6"/>
  <c r="B166" i="6"/>
  <c r="C165" i="6"/>
  <c r="B165" i="6"/>
  <c r="C164" i="6"/>
  <c r="B164" i="6"/>
  <c r="C163" i="6"/>
  <c r="B163" i="6"/>
  <c r="C162" i="6"/>
  <c r="B162" i="6"/>
  <c r="C161" i="6"/>
  <c r="B161" i="6"/>
  <c r="C160" i="6"/>
  <c r="B160" i="6"/>
  <c r="C159" i="6"/>
  <c r="B159" i="6"/>
  <c r="C158" i="6"/>
  <c r="B158" i="6"/>
  <c r="C157" i="6"/>
  <c r="B157" i="6"/>
  <c r="C156" i="6"/>
  <c r="B156" i="6"/>
  <c r="C155" i="6"/>
  <c r="B155" i="6"/>
  <c r="C154" i="6"/>
  <c r="B154" i="6"/>
  <c r="C153" i="6"/>
  <c r="B153" i="6"/>
  <c r="C152" i="6"/>
  <c r="B152" i="6"/>
  <c r="C151" i="6"/>
  <c r="B151" i="6"/>
  <c r="C150" i="6"/>
  <c r="B150" i="6"/>
  <c r="C149" i="6"/>
  <c r="B149" i="6"/>
  <c r="C148" i="6"/>
  <c r="B148" i="6"/>
  <c r="C147" i="6"/>
  <c r="B147" i="6"/>
  <c r="C146" i="6"/>
  <c r="B146" i="6"/>
  <c r="C145" i="6"/>
  <c r="B145" i="6"/>
  <c r="C144" i="6"/>
  <c r="B144" i="6"/>
  <c r="C143" i="6"/>
  <c r="B143" i="6"/>
  <c r="C142" i="6"/>
  <c r="B142" i="6"/>
  <c r="C141" i="6"/>
  <c r="B141" i="6"/>
  <c r="C140" i="6"/>
  <c r="B140" i="6"/>
  <c r="C139" i="6"/>
  <c r="B139" i="6"/>
  <c r="C138" i="6"/>
  <c r="C134" i="6"/>
  <c r="C133" i="6"/>
  <c r="B133" i="6"/>
  <c r="C132" i="6"/>
  <c r="B132" i="6"/>
  <c r="C131" i="6"/>
  <c r="B131" i="6"/>
  <c r="C130" i="6"/>
  <c r="B130" i="6"/>
  <c r="C129" i="6"/>
  <c r="B129" i="6"/>
  <c r="C128" i="6"/>
  <c r="B128" i="6"/>
  <c r="C127" i="6"/>
  <c r="B127" i="6"/>
  <c r="C126" i="6"/>
  <c r="B126" i="6"/>
  <c r="C125" i="6"/>
  <c r="B125" i="6"/>
  <c r="C124" i="6"/>
  <c r="B124" i="6"/>
  <c r="C123" i="6"/>
  <c r="B123" i="6"/>
  <c r="C122" i="6"/>
  <c r="B122" i="6"/>
  <c r="C121" i="6"/>
  <c r="B121" i="6"/>
  <c r="C120" i="6"/>
  <c r="B120" i="6"/>
  <c r="C119" i="6"/>
  <c r="B119" i="6"/>
  <c r="C118" i="6"/>
  <c r="B118" i="6"/>
  <c r="C117" i="6"/>
  <c r="B117" i="6"/>
  <c r="C116" i="6"/>
  <c r="B116" i="6"/>
  <c r="C115" i="6"/>
  <c r="B115" i="6"/>
  <c r="C114" i="6"/>
  <c r="B114" i="6"/>
  <c r="C113" i="6"/>
  <c r="B113" i="6"/>
  <c r="C112" i="6"/>
  <c r="B112" i="6"/>
  <c r="C111" i="6"/>
  <c r="B111" i="6"/>
  <c r="C110" i="6"/>
  <c r="B110" i="6"/>
  <c r="C109" i="6"/>
  <c r="B109" i="6"/>
  <c r="C108" i="6"/>
  <c r="B108" i="6"/>
  <c r="C107" i="6"/>
  <c r="B107" i="6"/>
  <c r="C106" i="6"/>
  <c r="B106" i="6"/>
  <c r="C105" i="6"/>
  <c r="B105" i="6"/>
  <c r="C104" i="6"/>
  <c r="B104" i="6"/>
  <c r="C103" i="6"/>
  <c r="B103" i="6"/>
  <c r="C102" i="6"/>
  <c r="B102" i="6"/>
  <c r="C101" i="6"/>
  <c r="B101" i="6"/>
  <c r="C100" i="6"/>
  <c r="B100" i="6"/>
  <c r="C99" i="6"/>
  <c r="B99" i="6"/>
  <c r="C98" i="6"/>
  <c r="B98" i="6"/>
  <c r="C97" i="6"/>
  <c r="B97" i="6"/>
  <c r="C96" i="6"/>
  <c r="B96" i="6"/>
  <c r="C95" i="6"/>
  <c r="B95" i="6"/>
  <c r="C94" i="6"/>
  <c r="B94" i="6"/>
  <c r="C93" i="6"/>
  <c r="B93" i="6"/>
  <c r="C92" i="6"/>
  <c r="B92" i="6"/>
  <c r="C91" i="6"/>
  <c r="B91" i="6"/>
  <c r="C90" i="6"/>
  <c r="B90" i="6"/>
  <c r="C89" i="6"/>
  <c r="B89" i="6"/>
  <c r="C88" i="6"/>
  <c r="B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B4" i="6"/>
  <c r="B3" i="6"/>
  <c r="B230" i="5"/>
  <c r="K228" i="5"/>
  <c r="H228" i="5"/>
  <c r="G228" i="5"/>
  <c r="F228" i="5"/>
  <c r="D228" i="5"/>
  <c r="C228" i="5"/>
  <c r="B228" i="5"/>
  <c r="K227" i="5"/>
  <c r="H227" i="5"/>
  <c r="G227" i="5"/>
  <c r="F227" i="5"/>
  <c r="D227" i="5"/>
  <c r="C227" i="5"/>
  <c r="B227" i="5"/>
  <c r="K226" i="5"/>
  <c r="H226" i="5"/>
  <c r="G226" i="5"/>
  <c r="F226" i="5"/>
  <c r="D226" i="5"/>
  <c r="C226" i="5"/>
  <c r="B226" i="5"/>
  <c r="K224" i="5"/>
  <c r="H224" i="5"/>
  <c r="G224" i="5"/>
  <c r="F224" i="5"/>
  <c r="D224" i="5"/>
  <c r="C224" i="5"/>
  <c r="B224" i="5"/>
  <c r="K223" i="5"/>
  <c r="H223" i="5"/>
  <c r="G223" i="5"/>
  <c r="F223" i="5"/>
  <c r="D223" i="5"/>
  <c r="C223" i="5"/>
  <c r="B223" i="5"/>
  <c r="K222" i="5"/>
  <c r="H222" i="5"/>
  <c r="G222" i="5"/>
  <c r="F222" i="5"/>
  <c r="D222" i="5"/>
  <c r="C222" i="5"/>
  <c r="B222" i="5"/>
  <c r="K221" i="5"/>
  <c r="H221" i="5"/>
  <c r="G221" i="5"/>
  <c r="F221" i="5"/>
  <c r="D221" i="5"/>
  <c r="C221" i="5"/>
  <c r="B221" i="5"/>
  <c r="K220" i="5"/>
  <c r="H220" i="5"/>
  <c r="G220" i="5"/>
  <c r="F220" i="5"/>
  <c r="D220" i="5"/>
  <c r="C220" i="5"/>
  <c r="B220" i="5"/>
  <c r="K219" i="5"/>
  <c r="H219" i="5"/>
  <c r="G219" i="5"/>
  <c r="F219" i="5"/>
  <c r="D219" i="5"/>
  <c r="C219" i="5"/>
  <c r="B219" i="5"/>
  <c r="K218" i="5"/>
  <c r="H218" i="5"/>
  <c r="G218" i="5"/>
  <c r="F218" i="5"/>
  <c r="D218" i="5"/>
  <c r="C218" i="5"/>
  <c r="B218" i="5"/>
  <c r="K216" i="5"/>
  <c r="H216" i="5"/>
  <c r="G216" i="5"/>
  <c r="F216" i="5"/>
  <c r="D216" i="5"/>
  <c r="C216" i="5"/>
  <c r="K214" i="5"/>
  <c r="H214" i="5"/>
  <c r="G214" i="5"/>
  <c r="F214" i="5"/>
  <c r="D214" i="5"/>
  <c r="C214" i="5"/>
  <c r="K212" i="5"/>
  <c r="H212" i="5"/>
  <c r="G212" i="5"/>
  <c r="F212" i="5"/>
  <c r="D212" i="5"/>
  <c r="C212" i="5"/>
  <c r="K210" i="5"/>
  <c r="H210" i="5"/>
  <c r="G210" i="5"/>
  <c r="F210" i="5"/>
  <c r="D210" i="5"/>
  <c r="C210" i="5"/>
  <c r="K209" i="5"/>
  <c r="K209" i="6" s="1"/>
  <c r="H209" i="5"/>
  <c r="G209" i="5"/>
  <c r="G209" i="6" s="1"/>
  <c r="F209" i="5"/>
  <c r="F209" i="6" s="1"/>
  <c r="D209" i="5"/>
  <c r="D209" i="6" s="1"/>
  <c r="C209" i="5"/>
  <c r="B209" i="5"/>
  <c r="K208" i="5"/>
  <c r="K208" i="6" s="1"/>
  <c r="H208" i="5"/>
  <c r="G208" i="5"/>
  <c r="G208" i="6" s="1"/>
  <c r="F208" i="5"/>
  <c r="D208" i="5"/>
  <c r="D208" i="6" s="1"/>
  <c r="C208" i="5"/>
  <c r="B208" i="5"/>
  <c r="K207" i="5"/>
  <c r="K207" i="6" s="1"/>
  <c r="H207" i="5"/>
  <c r="H207" i="6" s="1"/>
  <c r="G207" i="5"/>
  <c r="G207" i="6" s="1"/>
  <c r="F207" i="5"/>
  <c r="F207" i="6" s="1"/>
  <c r="D207" i="5"/>
  <c r="D207" i="6" s="1"/>
  <c r="C207" i="5"/>
  <c r="B207" i="5"/>
  <c r="K206" i="5"/>
  <c r="K206" i="6" s="1"/>
  <c r="H206" i="5"/>
  <c r="G206" i="5"/>
  <c r="G206" i="6" s="1"/>
  <c r="F206" i="5"/>
  <c r="D206" i="5"/>
  <c r="D206" i="6" s="1"/>
  <c r="C206" i="5"/>
  <c r="B206" i="5"/>
  <c r="K205" i="5"/>
  <c r="K205" i="6" s="1"/>
  <c r="H205" i="5"/>
  <c r="H205" i="6" s="1"/>
  <c r="G205" i="5"/>
  <c r="G205" i="6" s="1"/>
  <c r="F205" i="5"/>
  <c r="F205" i="6" s="1"/>
  <c r="D205" i="5"/>
  <c r="D205" i="6" s="1"/>
  <c r="C205" i="5"/>
  <c r="B205" i="5"/>
  <c r="K204" i="5"/>
  <c r="K204" i="6" s="1"/>
  <c r="H204" i="5"/>
  <c r="G204" i="5"/>
  <c r="G204" i="6" s="1"/>
  <c r="F204" i="5"/>
  <c r="D204" i="5"/>
  <c r="D204" i="6" s="1"/>
  <c r="C204" i="5"/>
  <c r="B204" i="5"/>
  <c r="K203" i="5"/>
  <c r="K203" i="6" s="1"/>
  <c r="H203" i="5"/>
  <c r="H203" i="6" s="1"/>
  <c r="G203" i="5"/>
  <c r="G203" i="6" s="1"/>
  <c r="F203" i="5"/>
  <c r="F203" i="6" s="1"/>
  <c r="D203" i="5"/>
  <c r="D203" i="6" s="1"/>
  <c r="C203" i="5"/>
  <c r="B203" i="5"/>
  <c r="K202" i="5"/>
  <c r="K202" i="6" s="1"/>
  <c r="H202" i="5"/>
  <c r="G202" i="5"/>
  <c r="G202" i="6" s="1"/>
  <c r="F202" i="5"/>
  <c r="D202" i="5"/>
  <c r="D202" i="6" s="1"/>
  <c r="C202" i="5"/>
  <c r="B202" i="5"/>
  <c r="K201" i="5"/>
  <c r="K201" i="6" s="1"/>
  <c r="H201" i="5"/>
  <c r="H201" i="6" s="1"/>
  <c r="G201" i="5"/>
  <c r="G201" i="6" s="1"/>
  <c r="F201" i="5"/>
  <c r="F201" i="6" s="1"/>
  <c r="D201" i="5"/>
  <c r="D201" i="6" s="1"/>
  <c r="C201" i="5"/>
  <c r="B201" i="5"/>
  <c r="K200" i="5"/>
  <c r="K200" i="6" s="1"/>
  <c r="H200" i="5"/>
  <c r="G200" i="5"/>
  <c r="G200" i="6" s="1"/>
  <c r="F200" i="5"/>
  <c r="D200" i="5"/>
  <c r="D200" i="6" s="1"/>
  <c r="C200" i="5"/>
  <c r="B200" i="5"/>
  <c r="C199" i="5"/>
  <c r="K197" i="5"/>
  <c r="H197" i="5"/>
  <c r="G197" i="5"/>
  <c r="F197" i="5"/>
  <c r="D197" i="5"/>
  <c r="C197" i="5"/>
  <c r="K196" i="5"/>
  <c r="K194" i="6" s="1"/>
  <c r="H196" i="5"/>
  <c r="H194" i="6" s="1"/>
  <c r="G196" i="5"/>
  <c r="G194" i="6" s="1"/>
  <c r="F196" i="5"/>
  <c r="F194" i="6" s="1"/>
  <c r="D196" i="5"/>
  <c r="D194" i="6" s="1"/>
  <c r="C196" i="5"/>
  <c r="B196" i="5"/>
  <c r="K195" i="5"/>
  <c r="H195" i="5"/>
  <c r="H193" i="6" s="1"/>
  <c r="G195" i="5"/>
  <c r="F195" i="5"/>
  <c r="F193" i="6" s="1"/>
  <c r="D195" i="5"/>
  <c r="C195" i="5"/>
  <c r="B195" i="5"/>
  <c r="K194" i="5"/>
  <c r="K192" i="6" s="1"/>
  <c r="H194" i="5"/>
  <c r="H192" i="6" s="1"/>
  <c r="G194" i="5"/>
  <c r="G192" i="6" s="1"/>
  <c r="F194" i="5"/>
  <c r="F192" i="6" s="1"/>
  <c r="D194" i="5"/>
  <c r="D192" i="6" s="1"/>
  <c r="C194" i="5"/>
  <c r="B194" i="5"/>
  <c r="K193" i="5"/>
  <c r="H193" i="5"/>
  <c r="H191" i="6" s="1"/>
  <c r="G193" i="5"/>
  <c r="F193" i="5"/>
  <c r="F191" i="6" s="1"/>
  <c r="D193" i="5"/>
  <c r="C193" i="5"/>
  <c r="B193" i="5"/>
  <c r="K192" i="5"/>
  <c r="K190" i="6" s="1"/>
  <c r="H192" i="5"/>
  <c r="H190" i="6" s="1"/>
  <c r="G192" i="5"/>
  <c r="G190" i="6" s="1"/>
  <c r="F192" i="5"/>
  <c r="F190" i="6" s="1"/>
  <c r="D192" i="5"/>
  <c r="D190" i="6" s="1"/>
  <c r="C192" i="5"/>
  <c r="B192" i="5"/>
  <c r="K191" i="5"/>
  <c r="H191" i="5"/>
  <c r="H189" i="6" s="1"/>
  <c r="G191" i="5"/>
  <c r="F191" i="5"/>
  <c r="F189" i="6" s="1"/>
  <c r="D191" i="5"/>
  <c r="C191" i="5"/>
  <c r="B191" i="5"/>
  <c r="K190" i="5"/>
  <c r="K188" i="6" s="1"/>
  <c r="H190" i="5"/>
  <c r="H188" i="6" s="1"/>
  <c r="G190" i="5"/>
  <c r="G188" i="6" s="1"/>
  <c r="F190" i="5"/>
  <c r="F188" i="6" s="1"/>
  <c r="D190" i="5"/>
  <c r="D188" i="6" s="1"/>
  <c r="C190" i="5"/>
  <c r="B190" i="5"/>
  <c r="K189" i="5"/>
  <c r="H189" i="5"/>
  <c r="H187" i="6" s="1"/>
  <c r="G189" i="5"/>
  <c r="F189" i="5"/>
  <c r="F187" i="6" s="1"/>
  <c r="D189" i="5"/>
  <c r="C189" i="5"/>
  <c r="B189" i="5"/>
  <c r="K188" i="5"/>
  <c r="K186" i="6" s="1"/>
  <c r="H188" i="5"/>
  <c r="H186" i="6" s="1"/>
  <c r="G188" i="5"/>
  <c r="G186" i="6" s="1"/>
  <c r="F188" i="5"/>
  <c r="F186" i="6" s="1"/>
  <c r="D188" i="5"/>
  <c r="D186" i="6" s="1"/>
  <c r="C188" i="5"/>
  <c r="B188" i="5"/>
  <c r="K187" i="5"/>
  <c r="H187" i="5"/>
  <c r="H185" i="6" s="1"/>
  <c r="G187" i="5"/>
  <c r="F187" i="5"/>
  <c r="F185" i="6" s="1"/>
  <c r="D187" i="5"/>
  <c r="C187" i="5"/>
  <c r="B187" i="5"/>
  <c r="K186" i="5"/>
  <c r="K184" i="6" s="1"/>
  <c r="H186" i="5"/>
  <c r="H184" i="6" s="1"/>
  <c r="G186" i="5"/>
  <c r="G184" i="6" s="1"/>
  <c r="F186" i="5"/>
  <c r="F184" i="6" s="1"/>
  <c r="D186" i="5"/>
  <c r="D184" i="6" s="1"/>
  <c r="C186" i="5"/>
  <c r="B186" i="5"/>
  <c r="K185" i="5"/>
  <c r="H185" i="5"/>
  <c r="H183" i="6" s="1"/>
  <c r="G185" i="5"/>
  <c r="F185" i="5"/>
  <c r="F183" i="6" s="1"/>
  <c r="D185" i="5"/>
  <c r="C185" i="5"/>
  <c r="B185" i="5"/>
  <c r="K184" i="5"/>
  <c r="K182" i="6" s="1"/>
  <c r="H184" i="5"/>
  <c r="H182" i="6" s="1"/>
  <c r="G184" i="5"/>
  <c r="G182" i="6" s="1"/>
  <c r="F184" i="5"/>
  <c r="F182" i="6" s="1"/>
  <c r="D184" i="5"/>
  <c r="D182" i="6" s="1"/>
  <c r="C184" i="5"/>
  <c r="B184" i="5"/>
  <c r="K183" i="5"/>
  <c r="H183" i="5"/>
  <c r="H181" i="6" s="1"/>
  <c r="G183" i="5"/>
  <c r="F183" i="5"/>
  <c r="F181" i="6" s="1"/>
  <c r="D183" i="5"/>
  <c r="C183" i="5"/>
  <c r="B183" i="5"/>
  <c r="K182" i="5"/>
  <c r="K180" i="6" s="1"/>
  <c r="H182" i="5"/>
  <c r="H180" i="6" s="1"/>
  <c r="G182" i="5"/>
  <c r="G180" i="6" s="1"/>
  <c r="F182" i="5"/>
  <c r="F180" i="6" s="1"/>
  <c r="D182" i="5"/>
  <c r="D180" i="6" s="1"/>
  <c r="C182" i="5"/>
  <c r="B182" i="5"/>
  <c r="K181" i="5"/>
  <c r="H181" i="5"/>
  <c r="H179" i="6" s="1"/>
  <c r="G181" i="5"/>
  <c r="F181" i="5"/>
  <c r="F179" i="6" s="1"/>
  <c r="D181" i="5"/>
  <c r="C181" i="5"/>
  <c r="B181" i="5"/>
  <c r="K180" i="5"/>
  <c r="K178" i="6" s="1"/>
  <c r="H180" i="5"/>
  <c r="H178" i="6" s="1"/>
  <c r="G180" i="5"/>
  <c r="G178" i="6" s="1"/>
  <c r="F180" i="5"/>
  <c r="F178" i="6" s="1"/>
  <c r="D180" i="5"/>
  <c r="D178" i="6" s="1"/>
  <c r="C180" i="5"/>
  <c r="B180" i="5"/>
  <c r="K179" i="5"/>
  <c r="H179" i="5"/>
  <c r="H177" i="6" s="1"/>
  <c r="G179" i="5"/>
  <c r="F179" i="5"/>
  <c r="F177" i="6" s="1"/>
  <c r="D179" i="5"/>
  <c r="C179" i="5"/>
  <c r="B179" i="5"/>
  <c r="K178" i="5"/>
  <c r="K176" i="6" s="1"/>
  <c r="H178" i="5"/>
  <c r="H176" i="6" s="1"/>
  <c r="G178" i="5"/>
  <c r="G176" i="6" s="1"/>
  <c r="F178" i="5"/>
  <c r="F176" i="6" s="1"/>
  <c r="D178" i="5"/>
  <c r="D176" i="6" s="1"/>
  <c r="C178" i="5"/>
  <c r="B178" i="5"/>
  <c r="K177" i="5"/>
  <c r="H177" i="5"/>
  <c r="H175" i="6" s="1"/>
  <c r="G177" i="5"/>
  <c r="F177" i="5"/>
  <c r="F175" i="6" s="1"/>
  <c r="D177" i="5"/>
  <c r="C177" i="5"/>
  <c r="B177" i="5"/>
  <c r="K176" i="5"/>
  <c r="K174" i="6" s="1"/>
  <c r="H176" i="5"/>
  <c r="H174" i="6" s="1"/>
  <c r="G176" i="5"/>
  <c r="G174" i="6" s="1"/>
  <c r="F176" i="5"/>
  <c r="F174" i="6" s="1"/>
  <c r="D176" i="5"/>
  <c r="D174" i="6" s="1"/>
  <c r="C176" i="5"/>
  <c r="B176" i="5"/>
  <c r="K175" i="5"/>
  <c r="H175" i="5"/>
  <c r="H173" i="6" s="1"/>
  <c r="G175" i="5"/>
  <c r="F175" i="5"/>
  <c r="F173" i="6" s="1"/>
  <c r="D175" i="5"/>
  <c r="C175" i="5"/>
  <c r="B175" i="5"/>
  <c r="K174" i="5"/>
  <c r="K172" i="6" s="1"/>
  <c r="H174" i="5"/>
  <c r="H172" i="6" s="1"/>
  <c r="G174" i="5"/>
  <c r="G172" i="6" s="1"/>
  <c r="F174" i="5"/>
  <c r="F172" i="6" s="1"/>
  <c r="D174" i="5"/>
  <c r="D172" i="6" s="1"/>
  <c r="C174" i="5"/>
  <c r="B174" i="5"/>
  <c r="K173" i="5"/>
  <c r="H173" i="5"/>
  <c r="H171" i="6" s="1"/>
  <c r="G173" i="5"/>
  <c r="F173" i="5"/>
  <c r="F171" i="6" s="1"/>
  <c r="D173" i="5"/>
  <c r="C173" i="5"/>
  <c r="B173" i="5"/>
  <c r="K172" i="5"/>
  <c r="K170" i="6" s="1"/>
  <c r="H172" i="5"/>
  <c r="H170" i="6" s="1"/>
  <c r="G172" i="5"/>
  <c r="G170" i="6" s="1"/>
  <c r="F172" i="5"/>
  <c r="F170" i="6" s="1"/>
  <c r="D172" i="5"/>
  <c r="D170" i="6" s="1"/>
  <c r="C172" i="5"/>
  <c r="B172" i="5"/>
  <c r="K171" i="5"/>
  <c r="H171" i="5"/>
  <c r="H169" i="6" s="1"/>
  <c r="G171" i="5"/>
  <c r="F171" i="5"/>
  <c r="F169" i="6" s="1"/>
  <c r="D171" i="5"/>
  <c r="C171" i="5"/>
  <c r="B171" i="5"/>
  <c r="K170" i="5"/>
  <c r="K168" i="6" s="1"/>
  <c r="H170" i="5"/>
  <c r="H168" i="6" s="1"/>
  <c r="G170" i="5"/>
  <c r="G168" i="6" s="1"/>
  <c r="F170" i="5"/>
  <c r="F168" i="6" s="1"/>
  <c r="D170" i="5"/>
  <c r="D168" i="6" s="1"/>
  <c r="C170" i="5"/>
  <c r="B170" i="5"/>
  <c r="K169" i="5"/>
  <c r="H169" i="5"/>
  <c r="H167" i="6" s="1"/>
  <c r="G169" i="5"/>
  <c r="F169" i="5"/>
  <c r="F167" i="6" s="1"/>
  <c r="D169" i="5"/>
  <c r="C169" i="5"/>
  <c r="B169" i="5"/>
  <c r="K168" i="5"/>
  <c r="K166" i="6" s="1"/>
  <c r="H168" i="5"/>
  <c r="H166" i="6" s="1"/>
  <c r="G168" i="5"/>
  <c r="G166" i="6" s="1"/>
  <c r="F168" i="5"/>
  <c r="F166" i="6" s="1"/>
  <c r="D168" i="5"/>
  <c r="D166" i="6" s="1"/>
  <c r="C168" i="5"/>
  <c r="B168" i="5"/>
  <c r="K167" i="5"/>
  <c r="H167" i="5"/>
  <c r="H165" i="6" s="1"/>
  <c r="G167" i="5"/>
  <c r="F167" i="5"/>
  <c r="F165" i="6" s="1"/>
  <c r="D167" i="5"/>
  <c r="C167" i="5"/>
  <c r="B167" i="5"/>
  <c r="K166" i="5"/>
  <c r="K164" i="6" s="1"/>
  <c r="H166" i="5"/>
  <c r="H164" i="6" s="1"/>
  <c r="G166" i="5"/>
  <c r="G164" i="6" s="1"/>
  <c r="F166" i="5"/>
  <c r="F164" i="6" s="1"/>
  <c r="D166" i="5"/>
  <c r="D164" i="6" s="1"/>
  <c r="C166" i="5"/>
  <c r="B166" i="5"/>
  <c r="K165" i="5"/>
  <c r="H165" i="5"/>
  <c r="H163" i="6" s="1"/>
  <c r="G165" i="5"/>
  <c r="F165" i="5"/>
  <c r="F163" i="6" s="1"/>
  <c r="D165" i="5"/>
  <c r="C165" i="5"/>
  <c r="B165" i="5"/>
  <c r="K164" i="5"/>
  <c r="K162" i="6" s="1"/>
  <c r="H164" i="5"/>
  <c r="H162" i="6" s="1"/>
  <c r="G164" i="5"/>
  <c r="G162" i="6" s="1"/>
  <c r="F164" i="5"/>
  <c r="F162" i="6" s="1"/>
  <c r="D164" i="5"/>
  <c r="D162" i="6" s="1"/>
  <c r="C164" i="5"/>
  <c r="B164" i="5"/>
  <c r="K163" i="5"/>
  <c r="H163" i="5"/>
  <c r="H161" i="6" s="1"/>
  <c r="G163" i="5"/>
  <c r="F163" i="5"/>
  <c r="F161" i="6" s="1"/>
  <c r="D163" i="5"/>
  <c r="C163" i="5"/>
  <c r="B163" i="5"/>
  <c r="K162" i="5"/>
  <c r="K160" i="6" s="1"/>
  <c r="H162" i="5"/>
  <c r="H160" i="6" s="1"/>
  <c r="G162" i="5"/>
  <c r="G160" i="6" s="1"/>
  <c r="F162" i="5"/>
  <c r="F160" i="6" s="1"/>
  <c r="D162" i="5"/>
  <c r="D160" i="6" s="1"/>
  <c r="C162" i="5"/>
  <c r="B162" i="5"/>
  <c r="K161" i="5"/>
  <c r="K159" i="6" s="1"/>
  <c r="H161" i="5"/>
  <c r="H159" i="6" s="1"/>
  <c r="G161" i="5"/>
  <c r="G159" i="6" s="1"/>
  <c r="F161" i="5"/>
  <c r="F159" i="6" s="1"/>
  <c r="D161" i="5"/>
  <c r="D159" i="6" s="1"/>
  <c r="C161" i="5"/>
  <c r="B161" i="5"/>
  <c r="K160" i="5"/>
  <c r="K158" i="6" s="1"/>
  <c r="H160" i="5"/>
  <c r="H158" i="6" s="1"/>
  <c r="G160" i="5"/>
  <c r="G158" i="6" s="1"/>
  <c r="F160" i="5"/>
  <c r="F158" i="6" s="1"/>
  <c r="D160" i="5"/>
  <c r="D158" i="6" s="1"/>
  <c r="C160" i="5"/>
  <c r="B160" i="5"/>
  <c r="K159" i="5"/>
  <c r="K157" i="6" s="1"/>
  <c r="H159" i="5"/>
  <c r="H157" i="6" s="1"/>
  <c r="G159" i="5"/>
  <c r="G157" i="6" s="1"/>
  <c r="F159" i="5"/>
  <c r="F157" i="6" s="1"/>
  <c r="D159" i="5"/>
  <c r="D157" i="6" s="1"/>
  <c r="C159" i="5"/>
  <c r="B159" i="5"/>
  <c r="K158" i="5"/>
  <c r="K156" i="6" s="1"/>
  <c r="H158" i="5"/>
  <c r="H156" i="6" s="1"/>
  <c r="G158" i="5"/>
  <c r="G156" i="6" s="1"/>
  <c r="F158" i="5"/>
  <c r="F156" i="6" s="1"/>
  <c r="D158" i="5"/>
  <c r="D156" i="6" s="1"/>
  <c r="C158" i="5"/>
  <c r="B158" i="5"/>
  <c r="K157" i="5"/>
  <c r="K155" i="6" s="1"/>
  <c r="H157" i="5"/>
  <c r="H155" i="6" s="1"/>
  <c r="G157" i="5"/>
  <c r="G155" i="6" s="1"/>
  <c r="F157" i="5"/>
  <c r="F155" i="6" s="1"/>
  <c r="D157" i="5"/>
  <c r="D155" i="6" s="1"/>
  <c r="C157" i="5"/>
  <c r="B157" i="5"/>
  <c r="K156" i="5"/>
  <c r="K154" i="6" s="1"/>
  <c r="H156" i="5"/>
  <c r="H154" i="6" s="1"/>
  <c r="G156" i="5"/>
  <c r="G154" i="6" s="1"/>
  <c r="F156" i="5"/>
  <c r="F154" i="6" s="1"/>
  <c r="D156" i="5"/>
  <c r="D154" i="6" s="1"/>
  <c r="C156" i="5"/>
  <c r="B156" i="5"/>
  <c r="K155" i="5"/>
  <c r="K153" i="6" s="1"/>
  <c r="H155" i="5"/>
  <c r="H153" i="6" s="1"/>
  <c r="G155" i="5"/>
  <c r="G153" i="6" s="1"/>
  <c r="F155" i="5"/>
  <c r="F153" i="6" s="1"/>
  <c r="D155" i="5"/>
  <c r="D153" i="6" s="1"/>
  <c r="C155" i="5"/>
  <c r="B155" i="5"/>
  <c r="K154" i="5"/>
  <c r="K152" i="6" s="1"/>
  <c r="H154" i="5"/>
  <c r="H152" i="6" s="1"/>
  <c r="G154" i="5"/>
  <c r="G152" i="6" s="1"/>
  <c r="F154" i="5"/>
  <c r="F152" i="6" s="1"/>
  <c r="D154" i="5"/>
  <c r="D152" i="6" s="1"/>
  <c r="C154" i="5"/>
  <c r="B154" i="5"/>
  <c r="K153" i="5"/>
  <c r="K151" i="6" s="1"/>
  <c r="H153" i="5"/>
  <c r="H151" i="6" s="1"/>
  <c r="G153" i="5"/>
  <c r="G151" i="6" s="1"/>
  <c r="F153" i="5"/>
  <c r="F151" i="6" s="1"/>
  <c r="D153" i="5"/>
  <c r="D151" i="6" s="1"/>
  <c r="C153" i="5"/>
  <c r="B153" i="5"/>
  <c r="K152" i="5"/>
  <c r="K150" i="6" s="1"/>
  <c r="H152" i="5"/>
  <c r="H150" i="6" s="1"/>
  <c r="G152" i="5"/>
  <c r="G150" i="6" s="1"/>
  <c r="F152" i="5"/>
  <c r="F150" i="6" s="1"/>
  <c r="D152" i="5"/>
  <c r="D150" i="6" s="1"/>
  <c r="C152" i="5"/>
  <c r="B152" i="5"/>
  <c r="K151" i="5"/>
  <c r="K149" i="6" s="1"/>
  <c r="H151" i="5"/>
  <c r="H149" i="6" s="1"/>
  <c r="G151" i="5"/>
  <c r="G149" i="6" s="1"/>
  <c r="F151" i="5"/>
  <c r="F149" i="6" s="1"/>
  <c r="D151" i="5"/>
  <c r="D149" i="6" s="1"/>
  <c r="C151" i="5"/>
  <c r="B151" i="5"/>
  <c r="K150" i="5"/>
  <c r="K148" i="6" s="1"/>
  <c r="H150" i="5"/>
  <c r="H148" i="6" s="1"/>
  <c r="G150" i="5"/>
  <c r="G148" i="6" s="1"/>
  <c r="F150" i="5"/>
  <c r="F148" i="6" s="1"/>
  <c r="D150" i="5"/>
  <c r="D148" i="6" s="1"/>
  <c r="C150" i="5"/>
  <c r="B150" i="5"/>
  <c r="K149" i="5"/>
  <c r="K147" i="6" s="1"/>
  <c r="H149" i="5"/>
  <c r="H147" i="6" s="1"/>
  <c r="G149" i="5"/>
  <c r="G147" i="6" s="1"/>
  <c r="F149" i="5"/>
  <c r="F147" i="6" s="1"/>
  <c r="D149" i="5"/>
  <c r="D147" i="6" s="1"/>
  <c r="C149" i="5"/>
  <c r="B149" i="5"/>
  <c r="K148" i="5"/>
  <c r="K146" i="6" s="1"/>
  <c r="H148" i="5"/>
  <c r="H146" i="6" s="1"/>
  <c r="G148" i="5"/>
  <c r="G146" i="6" s="1"/>
  <c r="F148" i="5"/>
  <c r="F146" i="6" s="1"/>
  <c r="D148" i="5"/>
  <c r="D146" i="6" s="1"/>
  <c r="C148" i="5"/>
  <c r="B148" i="5"/>
  <c r="K147" i="5"/>
  <c r="K145" i="6" s="1"/>
  <c r="H147" i="5"/>
  <c r="H145" i="6" s="1"/>
  <c r="G147" i="5"/>
  <c r="G145" i="6" s="1"/>
  <c r="F147" i="5"/>
  <c r="F145" i="6" s="1"/>
  <c r="D147" i="5"/>
  <c r="D145" i="6" s="1"/>
  <c r="C147" i="5"/>
  <c r="B147" i="5"/>
  <c r="K146" i="5"/>
  <c r="K144" i="6" s="1"/>
  <c r="H146" i="5"/>
  <c r="H144" i="6" s="1"/>
  <c r="G146" i="5"/>
  <c r="G144" i="6" s="1"/>
  <c r="F146" i="5"/>
  <c r="F144" i="6" s="1"/>
  <c r="D146" i="5"/>
  <c r="D144" i="6" s="1"/>
  <c r="C146" i="5"/>
  <c r="B146" i="5"/>
  <c r="K145" i="5"/>
  <c r="K143" i="6" s="1"/>
  <c r="H145" i="5"/>
  <c r="H143" i="6" s="1"/>
  <c r="G145" i="5"/>
  <c r="G143" i="6" s="1"/>
  <c r="F145" i="5"/>
  <c r="F143" i="6" s="1"/>
  <c r="D145" i="5"/>
  <c r="D143" i="6" s="1"/>
  <c r="C145" i="5"/>
  <c r="B145" i="5"/>
  <c r="K144" i="5"/>
  <c r="K142" i="6" s="1"/>
  <c r="H144" i="5"/>
  <c r="H142" i="6" s="1"/>
  <c r="G144" i="5"/>
  <c r="G142" i="6" s="1"/>
  <c r="F144" i="5"/>
  <c r="F142" i="6" s="1"/>
  <c r="D144" i="5"/>
  <c r="D142" i="6" s="1"/>
  <c r="C144" i="5"/>
  <c r="B144" i="5"/>
  <c r="K143" i="5"/>
  <c r="K141" i="6" s="1"/>
  <c r="H143" i="5"/>
  <c r="H141" i="6" s="1"/>
  <c r="G143" i="5"/>
  <c r="G141" i="6" s="1"/>
  <c r="F143" i="5"/>
  <c r="F141" i="6" s="1"/>
  <c r="D143" i="5"/>
  <c r="D141" i="6" s="1"/>
  <c r="C143" i="5"/>
  <c r="B143" i="5"/>
  <c r="K142" i="5"/>
  <c r="K140" i="6" s="1"/>
  <c r="H142" i="5"/>
  <c r="H140" i="6" s="1"/>
  <c r="G142" i="5"/>
  <c r="G140" i="6" s="1"/>
  <c r="F142" i="5"/>
  <c r="F140" i="6" s="1"/>
  <c r="D142" i="5"/>
  <c r="D140" i="6" s="1"/>
  <c r="C142" i="5"/>
  <c r="B142" i="5"/>
  <c r="K141" i="5"/>
  <c r="K139" i="6" s="1"/>
  <c r="H141" i="5"/>
  <c r="H139" i="6" s="1"/>
  <c r="G141" i="5"/>
  <c r="G139" i="6" s="1"/>
  <c r="F141" i="5"/>
  <c r="F139" i="6" s="1"/>
  <c r="D141" i="5"/>
  <c r="D139" i="6" s="1"/>
  <c r="C141" i="5"/>
  <c r="B141" i="5"/>
  <c r="K140" i="5"/>
  <c r="H140" i="5"/>
  <c r="G140" i="5"/>
  <c r="F140" i="5"/>
  <c r="D140" i="5"/>
  <c r="C140" i="5"/>
  <c r="K138" i="5"/>
  <c r="H138" i="5"/>
  <c r="G138" i="5"/>
  <c r="F138" i="5"/>
  <c r="D138" i="5"/>
  <c r="C138" i="5"/>
  <c r="K136" i="5"/>
  <c r="H136" i="5"/>
  <c r="G136" i="5"/>
  <c r="F136" i="5"/>
  <c r="D136" i="5"/>
  <c r="C136" i="5"/>
  <c r="K134" i="5"/>
  <c r="H134" i="5"/>
  <c r="G134" i="5"/>
  <c r="F134" i="5"/>
  <c r="D134" i="5"/>
  <c r="C134" i="5"/>
  <c r="K133" i="5"/>
  <c r="K133" i="6" s="1"/>
  <c r="H133" i="5"/>
  <c r="H133" i="6" s="1"/>
  <c r="G133" i="5"/>
  <c r="G133" i="6" s="1"/>
  <c r="F133" i="5"/>
  <c r="F133" i="6" s="1"/>
  <c r="D133" i="5"/>
  <c r="D133" i="6" s="1"/>
  <c r="C133" i="5"/>
  <c r="B133" i="5"/>
  <c r="K132" i="5"/>
  <c r="H132" i="5"/>
  <c r="H132" i="6" s="1"/>
  <c r="G132" i="5"/>
  <c r="F132" i="5"/>
  <c r="F132" i="6" s="1"/>
  <c r="D132" i="5"/>
  <c r="C132" i="5"/>
  <c r="B132" i="5"/>
  <c r="K131" i="5"/>
  <c r="K131" i="6" s="1"/>
  <c r="H131" i="5"/>
  <c r="H131" i="6" s="1"/>
  <c r="G131" i="5"/>
  <c r="G131" i="6" s="1"/>
  <c r="F131" i="5"/>
  <c r="F131" i="6" s="1"/>
  <c r="D131" i="5"/>
  <c r="D131" i="6" s="1"/>
  <c r="C131" i="5"/>
  <c r="B131" i="5"/>
  <c r="K130" i="5"/>
  <c r="H130" i="5"/>
  <c r="H130" i="6" s="1"/>
  <c r="G130" i="5"/>
  <c r="F130" i="5"/>
  <c r="F130" i="6" s="1"/>
  <c r="D130" i="5"/>
  <c r="C130" i="5"/>
  <c r="B130" i="5"/>
  <c r="K129" i="5"/>
  <c r="K129" i="6" s="1"/>
  <c r="H129" i="5"/>
  <c r="H129" i="6" s="1"/>
  <c r="G129" i="5"/>
  <c r="G129" i="6" s="1"/>
  <c r="F129" i="5"/>
  <c r="F129" i="6" s="1"/>
  <c r="D129" i="5"/>
  <c r="D129" i="6" s="1"/>
  <c r="C129" i="5"/>
  <c r="B129" i="5"/>
  <c r="K128" i="5"/>
  <c r="H128" i="5"/>
  <c r="H128" i="6" s="1"/>
  <c r="G128" i="5"/>
  <c r="F128" i="5"/>
  <c r="F128" i="6" s="1"/>
  <c r="D128" i="5"/>
  <c r="C128" i="5"/>
  <c r="B128" i="5"/>
  <c r="K127" i="5"/>
  <c r="K127" i="6" s="1"/>
  <c r="H127" i="5"/>
  <c r="H127" i="6" s="1"/>
  <c r="G127" i="5"/>
  <c r="G127" i="6" s="1"/>
  <c r="F127" i="5"/>
  <c r="F127" i="6" s="1"/>
  <c r="D127" i="5"/>
  <c r="D127" i="6" s="1"/>
  <c r="C127" i="5"/>
  <c r="B127" i="5"/>
  <c r="K126" i="5"/>
  <c r="H126" i="5"/>
  <c r="H126" i="6" s="1"/>
  <c r="G126" i="5"/>
  <c r="F126" i="5"/>
  <c r="F126" i="6" s="1"/>
  <c r="D126" i="5"/>
  <c r="C126" i="5"/>
  <c r="B126" i="5"/>
  <c r="K125" i="5"/>
  <c r="K125" i="6" s="1"/>
  <c r="H125" i="5"/>
  <c r="H125" i="6" s="1"/>
  <c r="G125" i="5"/>
  <c r="G125" i="6" s="1"/>
  <c r="F125" i="5"/>
  <c r="F125" i="6" s="1"/>
  <c r="D125" i="5"/>
  <c r="D125" i="6" s="1"/>
  <c r="C125" i="5"/>
  <c r="B125" i="5"/>
  <c r="K124" i="5"/>
  <c r="H124" i="5"/>
  <c r="H124" i="6" s="1"/>
  <c r="G124" i="5"/>
  <c r="F124" i="5"/>
  <c r="F124" i="6" s="1"/>
  <c r="D124" i="5"/>
  <c r="C124" i="5"/>
  <c r="B124" i="5"/>
  <c r="K123" i="5"/>
  <c r="K123" i="6" s="1"/>
  <c r="H123" i="5"/>
  <c r="H123" i="6" s="1"/>
  <c r="G123" i="5"/>
  <c r="G123" i="6" s="1"/>
  <c r="F123" i="5"/>
  <c r="F123" i="6" s="1"/>
  <c r="D123" i="5"/>
  <c r="D123" i="6" s="1"/>
  <c r="C123" i="5"/>
  <c r="B123" i="5"/>
  <c r="K122" i="5"/>
  <c r="H122" i="5"/>
  <c r="H122" i="6" s="1"/>
  <c r="G122" i="5"/>
  <c r="F122" i="5"/>
  <c r="F122" i="6" s="1"/>
  <c r="D122" i="5"/>
  <c r="C122" i="5"/>
  <c r="B122" i="5"/>
  <c r="K121" i="5"/>
  <c r="K121" i="6" s="1"/>
  <c r="H121" i="5"/>
  <c r="H121" i="6" s="1"/>
  <c r="G121" i="5"/>
  <c r="G121" i="6" s="1"/>
  <c r="F121" i="5"/>
  <c r="F121" i="6" s="1"/>
  <c r="D121" i="5"/>
  <c r="D121" i="6" s="1"/>
  <c r="C121" i="5"/>
  <c r="B121" i="5"/>
  <c r="K120" i="5"/>
  <c r="H120" i="5"/>
  <c r="H120" i="6" s="1"/>
  <c r="G120" i="5"/>
  <c r="F120" i="5"/>
  <c r="F120" i="6" s="1"/>
  <c r="D120" i="5"/>
  <c r="C120" i="5"/>
  <c r="B120" i="5"/>
  <c r="K119" i="5"/>
  <c r="K119" i="6" s="1"/>
  <c r="H119" i="5"/>
  <c r="H119" i="6" s="1"/>
  <c r="G119" i="5"/>
  <c r="G119" i="6" s="1"/>
  <c r="F119" i="5"/>
  <c r="F119" i="6" s="1"/>
  <c r="D119" i="5"/>
  <c r="D119" i="6" s="1"/>
  <c r="C119" i="5"/>
  <c r="B119" i="5"/>
  <c r="K118" i="5"/>
  <c r="H118" i="5"/>
  <c r="H118" i="6" s="1"/>
  <c r="G118" i="5"/>
  <c r="F118" i="5"/>
  <c r="F118" i="6" s="1"/>
  <c r="D118" i="5"/>
  <c r="C118" i="5"/>
  <c r="B118" i="5"/>
  <c r="K117" i="5"/>
  <c r="K117" i="6" s="1"/>
  <c r="H117" i="5"/>
  <c r="H117" i="6" s="1"/>
  <c r="G117" i="5"/>
  <c r="G117" i="6" s="1"/>
  <c r="F117" i="5"/>
  <c r="F117" i="6" s="1"/>
  <c r="D117" i="5"/>
  <c r="D117" i="6" s="1"/>
  <c r="C117" i="5"/>
  <c r="B117" i="5"/>
  <c r="K116" i="5"/>
  <c r="H116" i="5"/>
  <c r="H116" i="6" s="1"/>
  <c r="G116" i="5"/>
  <c r="F116" i="5"/>
  <c r="F116" i="6" s="1"/>
  <c r="D116" i="5"/>
  <c r="C116" i="5"/>
  <c r="B116" i="5"/>
  <c r="K115" i="5"/>
  <c r="K115" i="6" s="1"/>
  <c r="H115" i="5"/>
  <c r="H115" i="6" s="1"/>
  <c r="G115" i="5"/>
  <c r="G115" i="6" s="1"/>
  <c r="F115" i="5"/>
  <c r="F115" i="6" s="1"/>
  <c r="D115" i="5"/>
  <c r="D115" i="6" s="1"/>
  <c r="C115" i="5"/>
  <c r="B115" i="5"/>
  <c r="K114" i="5"/>
  <c r="H114" i="5"/>
  <c r="H114" i="6" s="1"/>
  <c r="G114" i="5"/>
  <c r="F114" i="5"/>
  <c r="F114" i="6" s="1"/>
  <c r="D114" i="5"/>
  <c r="C114" i="5"/>
  <c r="B114" i="5"/>
  <c r="K113" i="5"/>
  <c r="K113" i="6" s="1"/>
  <c r="H113" i="5"/>
  <c r="H113" i="6" s="1"/>
  <c r="G113" i="5"/>
  <c r="G113" i="6" s="1"/>
  <c r="F113" i="5"/>
  <c r="F113" i="6" s="1"/>
  <c r="D113" i="5"/>
  <c r="D113" i="6" s="1"/>
  <c r="C113" i="5"/>
  <c r="B113" i="5"/>
  <c r="K112" i="5"/>
  <c r="H112" i="5"/>
  <c r="H112" i="6" s="1"/>
  <c r="G112" i="5"/>
  <c r="F112" i="5"/>
  <c r="F112" i="6" s="1"/>
  <c r="D112" i="5"/>
  <c r="C112" i="5"/>
  <c r="B112" i="5"/>
  <c r="K111" i="5"/>
  <c r="K111" i="6" s="1"/>
  <c r="H111" i="5"/>
  <c r="H111" i="6" s="1"/>
  <c r="G111" i="5"/>
  <c r="G111" i="6" s="1"/>
  <c r="F111" i="5"/>
  <c r="F111" i="6" s="1"/>
  <c r="D111" i="5"/>
  <c r="D111" i="6" s="1"/>
  <c r="C111" i="5"/>
  <c r="B111" i="5"/>
  <c r="K110" i="5"/>
  <c r="H110" i="5"/>
  <c r="H110" i="6" s="1"/>
  <c r="G110" i="5"/>
  <c r="F110" i="5"/>
  <c r="F110" i="6" s="1"/>
  <c r="D110" i="5"/>
  <c r="C110" i="5"/>
  <c r="B110" i="5"/>
  <c r="K109" i="5"/>
  <c r="K109" i="6" s="1"/>
  <c r="H109" i="5"/>
  <c r="H109" i="6" s="1"/>
  <c r="G109" i="5"/>
  <c r="G109" i="6" s="1"/>
  <c r="F109" i="5"/>
  <c r="F109" i="6" s="1"/>
  <c r="D109" i="5"/>
  <c r="D109" i="6" s="1"/>
  <c r="C109" i="5"/>
  <c r="B109" i="5"/>
  <c r="K108" i="5"/>
  <c r="H108" i="5"/>
  <c r="H108" i="6" s="1"/>
  <c r="G108" i="5"/>
  <c r="F108" i="5"/>
  <c r="F108" i="6" s="1"/>
  <c r="D108" i="5"/>
  <c r="C108" i="5"/>
  <c r="B108" i="5"/>
  <c r="K107" i="5"/>
  <c r="K107" i="6" s="1"/>
  <c r="H107" i="5"/>
  <c r="H107" i="6" s="1"/>
  <c r="G107" i="5"/>
  <c r="G107" i="6" s="1"/>
  <c r="F107" i="5"/>
  <c r="F107" i="6" s="1"/>
  <c r="D107" i="5"/>
  <c r="D107" i="6" s="1"/>
  <c r="C107" i="5"/>
  <c r="B107" i="5"/>
  <c r="K106" i="5"/>
  <c r="H106" i="5"/>
  <c r="H106" i="6" s="1"/>
  <c r="G106" i="5"/>
  <c r="F106" i="5"/>
  <c r="F106" i="6" s="1"/>
  <c r="D106" i="5"/>
  <c r="D106" i="6" s="1"/>
  <c r="C106" i="5"/>
  <c r="B106" i="5"/>
  <c r="K105" i="5"/>
  <c r="K105" i="6" s="1"/>
  <c r="H105" i="5"/>
  <c r="H105" i="6" s="1"/>
  <c r="G105" i="5"/>
  <c r="G105" i="6" s="1"/>
  <c r="F105" i="5"/>
  <c r="F105" i="6" s="1"/>
  <c r="D105" i="5"/>
  <c r="D105" i="6" s="1"/>
  <c r="C105" i="5"/>
  <c r="B105" i="5"/>
  <c r="K104" i="5"/>
  <c r="K104" i="6" s="1"/>
  <c r="H104" i="5"/>
  <c r="H104" i="6" s="1"/>
  <c r="G104" i="5"/>
  <c r="G104" i="6" s="1"/>
  <c r="F104" i="5"/>
  <c r="F104" i="6" s="1"/>
  <c r="D104" i="5"/>
  <c r="D104" i="6" s="1"/>
  <c r="C104" i="5"/>
  <c r="B104" i="5"/>
  <c r="K103" i="5"/>
  <c r="K103" i="6" s="1"/>
  <c r="H103" i="5"/>
  <c r="H103" i="6" s="1"/>
  <c r="G103" i="5"/>
  <c r="G103" i="6" s="1"/>
  <c r="F103" i="5"/>
  <c r="F103" i="6" s="1"/>
  <c r="D103" i="5"/>
  <c r="D103" i="6" s="1"/>
  <c r="C103" i="5"/>
  <c r="B103" i="5"/>
  <c r="K102" i="5"/>
  <c r="K102" i="6" s="1"/>
  <c r="H102" i="5"/>
  <c r="H102" i="6" s="1"/>
  <c r="G102" i="5"/>
  <c r="G102" i="6" s="1"/>
  <c r="F102" i="5"/>
  <c r="F102" i="6" s="1"/>
  <c r="D102" i="5"/>
  <c r="D102" i="6" s="1"/>
  <c r="C102" i="5"/>
  <c r="B102" i="5"/>
  <c r="K101" i="5"/>
  <c r="K101" i="6" s="1"/>
  <c r="H101" i="5"/>
  <c r="H101" i="6" s="1"/>
  <c r="G101" i="5"/>
  <c r="G101" i="6" s="1"/>
  <c r="F101" i="5"/>
  <c r="F101" i="6" s="1"/>
  <c r="D101" i="5"/>
  <c r="D101" i="6" s="1"/>
  <c r="C101" i="5"/>
  <c r="B101" i="5"/>
  <c r="K100" i="5"/>
  <c r="K100" i="6" s="1"/>
  <c r="H100" i="5"/>
  <c r="H100" i="6" s="1"/>
  <c r="G100" i="5"/>
  <c r="G100" i="6" s="1"/>
  <c r="F100" i="5"/>
  <c r="F100" i="6" s="1"/>
  <c r="D100" i="5"/>
  <c r="D100" i="6" s="1"/>
  <c r="C100" i="5"/>
  <c r="B100" i="5"/>
  <c r="K99" i="5"/>
  <c r="K99" i="6" s="1"/>
  <c r="H99" i="5"/>
  <c r="H99" i="6" s="1"/>
  <c r="G99" i="5"/>
  <c r="G99" i="6" s="1"/>
  <c r="F99" i="5"/>
  <c r="F99" i="6" s="1"/>
  <c r="D99" i="5"/>
  <c r="D99" i="6" s="1"/>
  <c r="C99" i="5"/>
  <c r="B99" i="5"/>
  <c r="K98" i="5"/>
  <c r="K98" i="6" s="1"/>
  <c r="H98" i="5"/>
  <c r="H98" i="6" s="1"/>
  <c r="G98" i="5"/>
  <c r="G98" i="6" s="1"/>
  <c r="F98" i="5"/>
  <c r="F98" i="6" s="1"/>
  <c r="D98" i="5"/>
  <c r="D98" i="6" s="1"/>
  <c r="C98" i="5"/>
  <c r="B98" i="5"/>
  <c r="K97" i="5"/>
  <c r="K97" i="6" s="1"/>
  <c r="H97" i="5"/>
  <c r="H97" i="6" s="1"/>
  <c r="G97" i="5"/>
  <c r="G97" i="6" s="1"/>
  <c r="F97" i="5"/>
  <c r="F97" i="6" s="1"/>
  <c r="D97" i="5"/>
  <c r="D97" i="6" s="1"/>
  <c r="C97" i="5"/>
  <c r="B97" i="5"/>
  <c r="K96" i="5"/>
  <c r="K96" i="6" s="1"/>
  <c r="H96" i="5"/>
  <c r="H96" i="6" s="1"/>
  <c r="G96" i="5"/>
  <c r="G96" i="6" s="1"/>
  <c r="F96" i="5"/>
  <c r="F96" i="6" s="1"/>
  <c r="D96" i="5"/>
  <c r="D96" i="6" s="1"/>
  <c r="C96" i="5"/>
  <c r="B96" i="5"/>
  <c r="K95" i="5"/>
  <c r="K95" i="6" s="1"/>
  <c r="H95" i="5"/>
  <c r="H95" i="6" s="1"/>
  <c r="G95" i="5"/>
  <c r="G95" i="6" s="1"/>
  <c r="F95" i="5"/>
  <c r="F95" i="6" s="1"/>
  <c r="D95" i="5"/>
  <c r="D95" i="6" s="1"/>
  <c r="C95" i="5"/>
  <c r="B95" i="5"/>
  <c r="K94" i="5"/>
  <c r="K94" i="6" s="1"/>
  <c r="H94" i="5"/>
  <c r="H94" i="6" s="1"/>
  <c r="G94" i="5"/>
  <c r="G94" i="6" s="1"/>
  <c r="F94" i="5"/>
  <c r="F94" i="6" s="1"/>
  <c r="D94" i="5"/>
  <c r="D94" i="6" s="1"/>
  <c r="C94" i="5"/>
  <c r="B94" i="5"/>
  <c r="K93" i="5"/>
  <c r="K93" i="6" s="1"/>
  <c r="H93" i="5"/>
  <c r="H93" i="6" s="1"/>
  <c r="G93" i="5"/>
  <c r="G93" i="6" s="1"/>
  <c r="F93" i="5"/>
  <c r="F93" i="6" s="1"/>
  <c r="D93" i="5"/>
  <c r="D93" i="6" s="1"/>
  <c r="C93" i="5"/>
  <c r="B93" i="5"/>
  <c r="K92" i="5"/>
  <c r="K92" i="6" s="1"/>
  <c r="H92" i="5"/>
  <c r="H92" i="6" s="1"/>
  <c r="G92" i="5"/>
  <c r="G92" i="6" s="1"/>
  <c r="F92" i="5"/>
  <c r="F92" i="6" s="1"/>
  <c r="D92" i="5"/>
  <c r="D92" i="6" s="1"/>
  <c r="C92" i="5"/>
  <c r="B92" i="5"/>
  <c r="K91" i="5"/>
  <c r="K91" i="6" s="1"/>
  <c r="H91" i="5"/>
  <c r="H91" i="6" s="1"/>
  <c r="G91" i="5"/>
  <c r="G91" i="6" s="1"/>
  <c r="F91" i="5"/>
  <c r="F91" i="6" s="1"/>
  <c r="D91" i="5"/>
  <c r="D91" i="6" s="1"/>
  <c r="C91" i="5"/>
  <c r="B91" i="5"/>
  <c r="K90" i="5"/>
  <c r="K90" i="6" s="1"/>
  <c r="H90" i="5"/>
  <c r="H90" i="6" s="1"/>
  <c r="G90" i="5"/>
  <c r="G90" i="6" s="1"/>
  <c r="F90" i="5"/>
  <c r="F90" i="6" s="1"/>
  <c r="D90" i="5"/>
  <c r="D90" i="6" s="1"/>
  <c r="C90" i="5"/>
  <c r="B90" i="5"/>
  <c r="K89" i="5"/>
  <c r="K89" i="6" s="1"/>
  <c r="H89" i="5"/>
  <c r="H89" i="6" s="1"/>
  <c r="G89" i="5"/>
  <c r="G89" i="6" s="1"/>
  <c r="F89" i="5"/>
  <c r="F89" i="6" s="1"/>
  <c r="D89" i="5"/>
  <c r="D89" i="6" s="1"/>
  <c r="C89" i="5"/>
  <c r="B89" i="5"/>
  <c r="K88" i="5"/>
  <c r="K88" i="6" s="1"/>
  <c r="H88" i="5"/>
  <c r="H88" i="6" s="1"/>
  <c r="G88" i="5"/>
  <c r="G88" i="6" s="1"/>
  <c r="F88" i="5"/>
  <c r="F88" i="6" s="1"/>
  <c r="D88" i="5"/>
  <c r="D88" i="6" s="1"/>
  <c r="C88" i="5"/>
  <c r="B88" i="5"/>
  <c r="K87" i="5"/>
  <c r="K87" i="6" s="1"/>
  <c r="H87" i="5"/>
  <c r="H87" i="6" s="1"/>
  <c r="G87" i="5"/>
  <c r="G87" i="6" s="1"/>
  <c r="F87" i="5"/>
  <c r="F87" i="6" s="1"/>
  <c r="D87" i="5"/>
  <c r="D87" i="6" s="1"/>
  <c r="C87" i="5"/>
  <c r="B87" i="5"/>
  <c r="K86" i="5"/>
  <c r="K86" i="6" s="1"/>
  <c r="H86" i="5"/>
  <c r="H86" i="6" s="1"/>
  <c r="G86" i="5"/>
  <c r="G86" i="6" s="1"/>
  <c r="F86" i="5"/>
  <c r="F86" i="6" s="1"/>
  <c r="D86" i="5"/>
  <c r="D86" i="6" s="1"/>
  <c r="C86" i="5"/>
  <c r="B86" i="5"/>
  <c r="K85" i="5"/>
  <c r="K85" i="6" s="1"/>
  <c r="H85" i="5"/>
  <c r="H85" i="6" s="1"/>
  <c r="G85" i="5"/>
  <c r="G85" i="6" s="1"/>
  <c r="F85" i="5"/>
  <c r="F85" i="6" s="1"/>
  <c r="D85" i="5"/>
  <c r="D85" i="6" s="1"/>
  <c r="C85" i="5"/>
  <c r="B85" i="5"/>
  <c r="K84" i="5"/>
  <c r="K84" i="6" s="1"/>
  <c r="H84" i="5"/>
  <c r="H84" i="6" s="1"/>
  <c r="G84" i="5"/>
  <c r="G84" i="6" s="1"/>
  <c r="F84" i="5"/>
  <c r="F84" i="6" s="1"/>
  <c r="D84" i="5"/>
  <c r="D84" i="6" s="1"/>
  <c r="C84" i="5"/>
  <c r="B84" i="5"/>
  <c r="K83" i="5"/>
  <c r="K83" i="6" s="1"/>
  <c r="H83" i="5"/>
  <c r="H83" i="6" s="1"/>
  <c r="G83" i="5"/>
  <c r="G83" i="6" s="1"/>
  <c r="F83" i="5"/>
  <c r="F83" i="6" s="1"/>
  <c r="D83" i="5"/>
  <c r="D83" i="6" s="1"/>
  <c r="C83" i="5"/>
  <c r="B83" i="5"/>
  <c r="K82" i="5"/>
  <c r="K82" i="6" s="1"/>
  <c r="H82" i="5"/>
  <c r="H82" i="6" s="1"/>
  <c r="G82" i="5"/>
  <c r="G82" i="6" s="1"/>
  <c r="F82" i="5"/>
  <c r="F82" i="6" s="1"/>
  <c r="D82" i="5"/>
  <c r="D82" i="6" s="1"/>
  <c r="C82" i="5"/>
  <c r="B82" i="5"/>
  <c r="K81" i="5"/>
  <c r="K81" i="6" s="1"/>
  <c r="H81" i="5"/>
  <c r="H81" i="6" s="1"/>
  <c r="G81" i="5"/>
  <c r="G81" i="6" s="1"/>
  <c r="F81" i="5"/>
  <c r="F81" i="6" s="1"/>
  <c r="D81" i="5"/>
  <c r="D81" i="6" s="1"/>
  <c r="C81" i="5"/>
  <c r="B81" i="5"/>
  <c r="K80" i="5"/>
  <c r="K80" i="6" s="1"/>
  <c r="H80" i="5"/>
  <c r="H80" i="6" s="1"/>
  <c r="G80" i="5"/>
  <c r="G80" i="6" s="1"/>
  <c r="F80" i="5"/>
  <c r="F80" i="6" s="1"/>
  <c r="D80" i="5"/>
  <c r="D80" i="6" s="1"/>
  <c r="C80" i="5"/>
  <c r="B80" i="5"/>
  <c r="K79" i="5"/>
  <c r="K79" i="6" s="1"/>
  <c r="H79" i="5"/>
  <c r="H79" i="6" s="1"/>
  <c r="G79" i="5"/>
  <c r="G79" i="6" s="1"/>
  <c r="F79" i="5"/>
  <c r="F79" i="6" s="1"/>
  <c r="D79" i="5"/>
  <c r="D79" i="6" s="1"/>
  <c r="C79" i="5"/>
  <c r="B79" i="5"/>
  <c r="K78" i="5"/>
  <c r="K78" i="6" s="1"/>
  <c r="H78" i="5"/>
  <c r="H78" i="6" s="1"/>
  <c r="G78" i="5"/>
  <c r="G78" i="6" s="1"/>
  <c r="F78" i="5"/>
  <c r="F78" i="6" s="1"/>
  <c r="D78" i="5"/>
  <c r="D78" i="6" s="1"/>
  <c r="C78" i="5"/>
  <c r="B78" i="5"/>
  <c r="K77" i="5"/>
  <c r="K77" i="6" s="1"/>
  <c r="H77" i="5"/>
  <c r="H77" i="6" s="1"/>
  <c r="G77" i="5"/>
  <c r="G77" i="6" s="1"/>
  <c r="F77" i="5"/>
  <c r="F77" i="6" s="1"/>
  <c r="D77" i="5"/>
  <c r="D77" i="6" s="1"/>
  <c r="C77" i="5"/>
  <c r="B77" i="5"/>
  <c r="K76" i="5"/>
  <c r="K76" i="6" s="1"/>
  <c r="H76" i="5"/>
  <c r="H76" i="6" s="1"/>
  <c r="G76" i="5"/>
  <c r="G76" i="6" s="1"/>
  <c r="F76" i="5"/>
  <c r="F76" i="6" s="1"/>
  <c r="D76" i="5"/>
  <c r="D76" i="6" s="1"/>
  <c r="C76" i="5"/>
  <c r="B76" i="5"/>
  <c r="K75" i="5"/>
  <c r="K75" i="6" s="1"/>
  <c r="H75" i="5"/>
  <c r="H75" i="6" s="1"/>
  <c r="G75" i="5"/>
  <c r="G75" i="6" s="1"/>
  <c r="F75" i="5"/>
  <c r="F75" i="6" s="1"/>
  <c r="D75" i="5"/>
  <c r="D75" i="6" s="1"/>
  <c r="C75" i="5"/>
  <c r="B75" i="5"/>
  <c r="K74" i="5"/>
  <c r="K74" i="6" s="1"/>
  <c r="H74" i="5"/>
  <c r="H74" i="6" s="1"/>
  <c r="G74" i="5"/>
  <c r="G74" i="6" s="1"/>
  <c r="F74" i="5"/>
  <c r="F74" i="6" s="1"/>
  <c r="D74" i="5"/>
  <c r="D74" i="6" s="1"/>
  <c r="C74" i="5"/>
  <c r="B74" i="5"/>
  <c r="K73" i="5"/>
  <c r="K73" i="6" s="1"/>
  <c r="H73" i="5"/>
  <c r="H73" i="6" s="1"/>
  <c r="G73" i="5"/>
  <c r="G73" i="6" s="1"/>
  <c r="F73" i="5"/>
  <c r="F73" i="6" s="1"/>
  <c r="D73" i="5"/>
  <c r="D73" i="6" s="1"/>
  <c r="C73" i="5"/>
  <c r="B73" i="5"/>
  <c r="K72" i="5"/>
  <c r="K72" i="6" s="1"/>
  <c r="H72" i="5"/>
  <c r="H72" i="6" s="1"/>
  <c r="G72" i="5"/>
  <c r="G72" i="6" s="1"/>
  <c r="F72" i="5"/>
  <c r="F72" i="6" s="1"/>
  <c r="D72" i="5"/>
  <c r="D72" i="6" s="1"/>
  <c r="C72" i="5"/>
  <c r="B72" i="5"/>
  <c r="K71" i="5"/>
  <c r="K71" i="6" s="1"/>
  <c r="H71" i="5"/>
  <c r="H71" i="6" s="1"/>
  <c r="G71" i="5"/>
  <c r="G71" i="6" s="1"/>
  <c r="F71" i="5"/>
  <c r="F71" i="6" s="1"/>
  <c r="D71" i="5"/>
  <c r="D71" i="6" s="1"/>
  <c r="C71" i="5"/>
  <c r="B71" i="5"/>
  <c r="K70" i="5"/>
  <c r="K70" i="6" s="1"/>
  <c r="H70" i="5"/>
  <c r="H70" i="6" s="1"/>
  <c r="G70" i="5"/>
  <c r="G70" i="6" s="1"/>
  <c r="F70" i="5"/>
  <c r="F70" i="6" s="1"/>
  <c r="D70" i="5"/>
  <c r="D70" i="6" s="1"/>
  <c r="C70" i="5"/>
  <c r="B70" i="5"/>
  <c r="K69" i="5"/>
  <c r="K69" i="6" s="1"/>
  <c r="H69" i="5"/>
  <c r="H69" i="6" s="1"/>
  <c r="G69" i="5"/>
  <c r="G69" i="6" s="1"/>
  <c r="F69" i="5"/>
  <c r="F69" i="6" s="1"/>
  <c r="D69" i="5"/>
  <c r="D69" i="6" s="1"/>
  <c r="C69" i="5"/>
  <c r="B69" i="5"/>
  <c r="K68" i="5"/>
  <c r="K68" i="6" s="1"/>
  <c r="H68" i="5"/>
  <c r="H68" i="6" s="1"/>
  <c r="G68" i="5"/>
  <c r="G68" i="6" s="1"/>
  <c r="F68" i="5"/>
  <c r="F68" i="6" s="1"/>
  <c r="D68" i="5"/>
  <c r="D68" i="6" s="1"/>
  <c r="C68" i="5"/>
  <c r="B68" i="5"/>
  <c r="K67" i="5"/>
  <c r="K67" i="6" s="1"/>
  <c r="H67" i="5"/>
  <c r="H67" i="6" s="1"/>
  <c r="G67" i="5"/>
  <c r="G67" i="6" s="1"/>
  <c r="F67" i="5"/>
  <c r="F67" i="6" s="1"/>
  <c r="D67" i="5"/>
  <c r="D67" i="6" s="1"/>
  <c r="C67" i="5"/>
  <c r="B67" i="5"/>
  <c r="K66" i="5"/>
  <c r="K66" i="6" s="1"/>
  <c r="H66" i="5"/>
  <c r="H66" i="6" s="1"/>
  <c r="G66" i="5"/>
  <c r="G66" i="6" s="1"/>
  <c r="F66" i="5"/>
  <c r="F66" i="6" s="1"/>
  <c r="D66" i="5"/>
  <c r="D66" i="6" s="1"/>
  <c r="C66" i="5"/>
  <c r="B66" i="5"/>
  <c r="K65" i="5"/>
  <c r="K65" i="6" s="1"/>
  <c r="H65" i="5"/>
  <c r="H65" i="6" s="1"/>
  <c r="G65" i="5"/>
  <c r="G65" i="6" s="1"/>
  <c r="F65" i="5"/>
  <c r="F65" i="6" s="1"/>
  <c r="D65" i="5"/>
  <c r="D65" i="6" s="1"/>
  <c r="C65" i="5"/>
  <c r="B65" i="5"/>
  <c r="K64" i="5"/>
  <c r="K64" i="6" s="1"/>
  <c r="H64" i="5"/>
  <c r="H64" i="6" s="1"/>
  <c r="G64" i="5"/>
  <c r="G64" i="6" s="1"/>
  <c r="F64" i="5"/>
  <c r="F64" i="6" s="1"/>
  <c r="D64" i="5"/>
  <c r="D64" i="6" s="1"/>
  <c r="C64" i="5"/>
  <c r="B64" i="5"/>
  <c r="K63" i="5"/>
  <c r="K63" i="6" s="1"/>
  <c r="H63" i="5"/>
  <c r="H63" i="6" s="1"/>
  <c r="G63" i="5"/>
  <c r="G63" i="6" s="1"/>
  <c r="F63" i="5"/>
  <c r="F63" i="6" s="1"/>
  <c r="D63" i="5"/>
  <c r="D63" i="6" s="1"/>
  <c r="C63" i="5"/>
  <c r="B63" i="5"/>
  <c r="K62" i="5"/>
  <c r="K62" i="6" s="1"/>
  <c r="H62" i="5"/>
  <c r="H62" i="6" s="1"/>
  <c r="G62" i="5"/>
  <c r="G62" i="6" s="1"/>
  <c r="F62" i="5"/>
  <c r="F62" i="6" s="1"/>
  <c r="D62" i="5"/>
  <c r="D62" i="6" s="1"/>
  <c r="C62" i="5"/>
  <c r="B62" i="5"/>
  <c r="K61" i="5"/>
  <c r="K61" i="6" s="1"/>
  <c r="H61" i="5"/>
  <c r="H61" i="6" s="1"/>
  <c r="G61" i="5"/>
  <c r="G61" i="6" s="1"/>
  <c r="F61" i="5"/>
  <c r="F61" i="6" s="1"/>
  <c r="D61" i="5"/>
  <c r="D61" i="6" s="1"/>
  <c r="C61" i="5"/>
  <c r="B61" i="5"/>
  <c r="K60" i="5"/>
  <c r="K60" i="6" s="1"/>
  <c r="H60" i="5"/>
  <c r="H60" i="6" s="1"/>
  <c r="G60" i="5"/>
  <c r="G60" i="6" s="1"/>
  <c r="F60" i="5"/>
  <c r="F60" i="6" s="1"/>
  <c r="D60" i="5"/>
  <c r="D60" i="6" s="1"/>
  <c r="C60" i="5"/>
  <c r="B60" i="5"/>
  <c r="K59" i="5"/>
  <c r="K59" i="6" s="1"/>
  <c r="H59" i="5"/>
  <c r="H59" i="6" s="1"/>
  <c r="G59" i="5"/>
  <c r="G59" i="6" s="1"/>
  <c r="F59" i="5"/>
  <c r="F59" i="6" s="1"/>
  <c r="D59" i="5"/>
  <c r="D59" i="6" s="1"/>
  <c r="C59" i="5"/>
  <c r="B59" i="5"/>
  <c r="K58" i="5"/>
  <c r="K58" i="6" s="1"/>
  <c r="H58" i="5"/>
  <c r="H58" i="6" s="1"/>
  <c r="G58" i="5"/>
  <c r="G58" i="6" s="1"/>
  <c r="F58" i="5"/>
  <c r="F58" i="6" s="1"/>
  <c r="D58" i="5"/>
  <c r="D58" i="6" s="1"/>
  <c r="C58" i="5"/>
  <c r="B58" i="5"/>
  <c r="K57" i="5"/>
  <c r="K57" i="6" s="1"/>
  <c r="H57" i="5"/>
  <c r="H57" i="6" s="1"/>
  <c r="G57" i="5"/>
  <c r="G57" i="6" s="1"/>
  <c r="F57" i="5"/>
  <c r="F57" i="6" s="1"/>
  <c r="D57" i="5"/>
  <c r="D57" i="6" s="1"/>
  <c r="C57" i="5"/>
  <c r="B57" i="5"/>
  <c r="K56" i="5"/>
  <c r="K56" i="6" s="1"/>
  <c r="H56" i="5"/>
  <c r="H56" i="6" s="1"/>
  <c r="G56" i="5"/>
  <c r="G56" i="6" s="1"/>
  <c r="F56" i="5"/>
  <c r="F56" i="6" s="1"/>
  <c r="D56" i="5"/>
  <c r="D56" i="6" s="1"/>
  <c r="C56" i="5"/>
  <c r="B56" i="5"/>
  <c r="K55" i="5"/>
  <c r="K55" i="6" s="1"/>
  <c r="H55" i="5"/>
  <c r="H55" i="6" s="1"/>
  <c r="G55" i="5"/>
  <c r="G55" i="6" s="1"/>
  <c r="F55" i="5"/>
  <c r="F55" i="6" s="1"/>
  <c r="D55" i="5"/>
  <c r="D55" i="6" s="1"/>
  <c r="C55" i="5"/>
  <c r="B55" i="5"/>
  <c r="K54" i="5"/>
  <c r="K54" i="6" s="1"/>
  <c r="H54" i="5"/>
  <c r="H54" i="6" s="1"/>
  <c r="G54" i="5"/>
  <c r="G54" i="6" s="1"/>
  <c r="F54" i="5"/>
  <c r="F54" i="6" s="1"/>
  <c r="D54" i="5"/>
  <c r="D54" i="6" s="1"/>
  <c r="C54" i="5"/>
  <c r="B54" i="5"/>
  <c r="K53" i="5"/>
  <c r="K53" i="6" s="1"/>
  <c r="H53" i="5"/>
  <c r="H53" i="6" s="1"/>
  <c r="G53" i="5"/>
  <c r="G53" i="6" s="1"/>
  <c r="F53" i="5"/>
  <c r="F53" i="6" s="1"/>
  <c r="D53" i="5"/>
  <c r="D53" i="6" s="1"/>
  <c r="C53" i="5"/>
  <c r="B53" i="5"/>
  <c r="K52" i="5"/>
  <c r="K52" i="6" s="1"/>
  <c r="H52" i="5"/>
  <c r="H52" i="6" s="1"/>
  <c r="G52" i="5"/>
  <c r="G52" i="6" s="1"/>
  <c r="F52" i="5"/>
  <c r="F52" i="6" s="1"/>
  <c r="D52" i="5"/>
  <c r="D52" i="6" s="1"/>
  <c r="C52" i="5"/>
  <c r="B52" i="5"/>
  <c r="K51" i="5"/>
  <c r="K51" i="6" s="1"/>
  <c r="H51" i="5"/>
  <c r="H51" i="6" s="1"/>
  <c r="G51" i="5"/>
  <c r="G51" i="6" s="1"/>
  <c r="F51" i="5"/>
  <c r="F51" i="6" s="1"/>
  <c r="D51" i="5"/>
  <c r="D51" i="6" s="1"/>
  <c r="C51" i="5"/>
  <c r="B51" i="5"/>
  <c r="K50" i="5"/>
  <c r="K50" i="6" s="1"/>
  <c r="H50" i="5"/>
  <c r="H50" i="6" s="1"/>
  <c r="G50" i="5"/>
  <c r="G50" i="6" s="1"/>
  <c r="F50" i="5"/>
  <c r="F50" i="6" s="1"/>
  <c r="D50" i="5"/>
  <c r="D50" i="6" s="1"/>
  <c r="C50" i="5"/>
  <c r="B50" i="5"/>
  <c r="K49" i="5"/>
  <c r="K49" i="6" s="1"/>
  <c r="H49" i="5"/>
  <c r="H49" i="6" s="1"/>
  <c r="G49" i="5"/>
  <c r="G49" i="6" s="1"/>
  <c r="F49" i="5"/>
  <c r="F49" i="6" s="1"/>
  <c r="D49" i="5"/>
  <c r="D49" i="6" s="1"/>
  <c r="C49" i="5"/>
  <c r="B49" i="5"/>
  <c r="K48" i="5"/>
  <c r="K48" i="6" s="1"/>
  <c r="H48" i="5"/>
  <c r="H48" i="6" s="1"/>
  <c r="G48" i="5"/>
  <c r="G48" i="6" s="1"/>
  <c r="F48" i="5"/>
  <c r="F48" i="6" s="1"/>
  <c r="D48" i="5"/>
  <c r="D48" i="6" s="1"/>
  <c r="C48" i="5"/>
  <c r="B48" i="5"/>
  <c r="K47" i="5"/>
  <c r="K47" i="6" s="1"/>
  <c r="H47" i="5"/>
  <c r="H47" i="6" s="1"/>
  <c r="G47" i="5"/>
  <c r="G47" i="6" s="1"/>
  <c r="F47" i="5"/>
  <c r="F47" i="6" s="1"/>
  <c r="D47" i="5"/>
  <c r="D47" i="6" s="1"/>
  <c r="C47" i="5"/>
  <c r="B47" i="5"/>
  <c r="K46" i="5"/>
  <c r="K46" i="6" s="1"/>
  <c r="H46" i="5"/>
  <c r="H46" i="6" s="1"/>
  <c r="G46" i="5"/>
  <c r="G46" i="6" s="1"/>
  <c r="F46" i="5"/>
  <c r="F46" i="6" s="1"/>
  <c r="D46" i="5"/>
  <c r="D46" i="6" s="1"/>
  <c r="C46" i="5"/>
  <c r="B46" i="5"/>
  <c r="K45" i="5"/>
  <c r="K45" i="6" s="1"/>
  <c r="H45" i="5"/>
  <c r="H45" i="6" s="1"/>
  <c r="G45" i="5"/>
  <c r="G45" i="6" s="1"/>
  <c r="F45" i="5"/>
  <c r="F45" i="6" s="1"/>
  <c r="D45" i="5"/>
  <c r="D45" i="6" s="1"/>
  <c r="C45" i="5"/>
  <c r="B45" i="5"/>
  <c r="K44" i="5"/>
  <c r="K44" i="6" s="1"/>
  <c r="H44" i="5"/>
  <c r="H44" i="6" s="1"/>
  <c r="G44" i="5"/>
  <c r="G44" i="6" s="1"/>
  <c r="F44" i="5"/>
  <c r="F44" i="6" s="1"/>
  <c r="D44" i="5"/>
  <c r="D44" i="6" s="1"/>
  <c r="C44" i="5"/>
  <c r="B44" i="5"/>
  <c r="K43" i="5"/>
  <c r="K43" i="6" s="1"/>
  <c r="H43" i="5"/>
  <c r="H43" i="6" s="1"/>
  <c r="G43" i="5"/>
  <c r="G43" i="6" s="1"/>
  <c r="F43" i="5"/>
  <c r="F43" i="6" s="1"/>
  <c r="D43" i="5"/>
  <c r="D43" i="6" s="1"/>
  <c r="C43" i="5"/>
  <c r="B43" i="5"/>
  <c r="K42" i="5"/>
  <c r="K42" i="6" s="1"/>
  <c r="H42" i="5"/>
  <c r="H42" i="6" s="1"/>
  <c r="G42" i="5"/>
  <c r="G42" i="6" s="1"/>
  <c r="F42" i="5"/>
  <c r="F42" i="6" s="1"/>
  <c r="D42" i="5"/>
  <c r="D42" i="6" s="1"/>
  <c r="C42" i="5"/>
  <c r="B42" i="5"/>
  <c r="K41" i="5"/>
  <c r="K41" i="6" s="1"/>
  <c r="H41" i="5"/>
  <c r="H41" i="6" s="1"/>
  <c r="G41" i="5"/>
  <c r="G41" i="6" s="1"/>
  <c r="F41" i="5"/>
  <c r="F41" i="6" s="1"/>
  <c r="D41" i="5"/>
  <c r="D41" i="6" s="1"/>
  <c r="C41" i="5"/>
  <c r="B41" i="5"/>
  <c r="K40" i="5"/>
  <c r="K40" i="6" s="1"/>
  <c r="H40" i="5"/>
  <c r="H40" i="6" s="1"/>
  <c r="G40" i="5"/>
  <c r="G40" i="6" s="1"/>
  <c r="F40" i="5"/>
  <c r="F40" i="6" s="1"/>
  <c r="D40" i="5"/>
  <c r="D40" i="6" s="1"/>
  <c r="C40" i="5"/>
  <c r="B40" i="5"/>
  <c r="K39" i="5"/>
  <c r="K39" i="6" s="1"/>
  <c r="H39" i="5"/>
  <c r="H39" i="6" s="1"/>
  <c r="G39" i="5"/>
  <c r="G39" i="6" s="1"/>
  <c r="F39" i="5"/>
  <c r="F39" i="6" s="1"/>
  <c r="D39" i="5"/>
  <c r="D39" i="6" s="1"/>
  <c r="C39" i="5"/>
  <c r="B39" i="5"/>
  <c r="K38" i="5"/>
  <c r="K38" i="6" s="1"/>
  <c r="H38" i="5"/>
  <c r="H38" i="6" s="1"/>
  <c r="G38" i="5"/>
  <c r="G38" i="6" s="1"/>
  <c r="F38" i="5"/>
  <c r="F38" i="6" s="1"/>
  <c r="D38" i="5"/>
  <c r="D38" i="6" s="1"/>
  <c r="C38" i="5"/>
  <c r="B38" i="5"/>
  <c r="K37" i="5"/>
  <c r="K37" i="6" s="1"/>
  <c r="H37" i="5"/>
  <c r="H37" i="6" s="1"/>
  <c r="G37" i="5"/>
  <c r="G37" i="6" s="1"/>
  <c r="F37" i="5"/>
  <c r="F37" i="6" s="1"/>
  <c r="D37" i="5"/>
  <c r="D37" i="6" s="1"/>
  <c r="C37" i="5"/>
  <c r="B37" i="5"/>
  <c r="K36" i="5"/>
  <c r="K36" i="6" s="1"/>
  <c r="H36" i="5"/>
  <c r="H36" i="6" s="1"/>
  <c r="G36" i="5"/>
  <c r="G36" i="6" s="1"/>
  <c r="F36" i="5"/>
  <c r="F36" i="6" s="1"/>
  <c r="D36" i="5"/>
  <c r="D36" i="6" s="1"/>
  <c r="C36" i="5"/>
  <c r="B36" i="5"/>
  <c r="K35" i="5"/>
  <c r="K35" i="6" s="1"/>
  <c r="H35" i="5"/>
  <c r="H35" i="6" s="1"/>
  <c r="G35" i="5"/>
  <c r="G35" i="6" s="1"/>
  <c r="F35" i="5"/>
  <c r="F35" i="6" s="1"/>
  <c r="D35" i="5"/>
  <c r="D35" i="6" s="1"/>
  <c r="C35" i="5"/>
  <c r="B35" i="5"/>
  <c r="K34" i="5"/>
  <c r="K34" i="6" s="1"/>
  <c r="H34" i="5"/>
  <c r="H34" i="6" s="1"/>
  <c r="G34" i="5"/>
  <c r="G34" i="6" s="1"/>
  <c r="F34" i="5"/>
  <c r="F34" i="6" s="1"/>
  <c r="D34" i="5"/>
  <c r="D34" i="6" s="1"/>
  <c r="C34" i="5"/>
  <c r="B34" i="5"/>
  <c r="K33" i="5"/>
  <c r="K33" i="6" s="1"/>
  <c r="H33" i="5"/>
  <c r="H33" i="6" s="1"/>
  <c r="G33" i="5"/>
  <c r="G33" i="6" s="1"/>
  <c r="F33" i="5"/>
  <c r="F33" i="6" s="1"/>
  <c r="D33" i="5"/>
  <c r="D33" i="6" s="1"/>
  <c r="C33" i="5"/>
  <c r="B33" i="5"/>
  <c r="K32" i="5"/>
  <c r="K32" i="6" s="1"/>
  <c r="H32" i="5"/>
  <c r="H32" i="6" s="1"/>
  <c r="G32" i="5"/>
  <c r="G32" i="6" s="1"/>
  <c r="F32" i="5"/>
  <c r="F32" i="6" s="1"/>
  <c r="D32" i="5"/>
  <c r="D32" i="6" s="1"/>
  <c r="C32" i="5"/>
  <c r="B32" i="5"/>
  <c r="K31" i="5"/>
  <c r="K31" i="6" s="1"/>
  <c r="H31" i="5"/>
  <c r="H31" i="6" s="1"/>
  <c r="G31" i="5"/>
  <c r="G31" i="6" s="1"/>
  <c r="F31" i="5"/>
  <c r="F31" i="6" s="1"/>
  <c r="D31" i="5"/>
  <c r="D31" i="6" s="1"/>
  <c r="C31" i="5"/>
  <c r="B31" i="5"/>
  <c r="K30" i="5"/>
  <c r="K30" i="6" s="1"/>
  <c r="H30" i="5"/>
  <c r="H30" i="6" s="1"/>
  <c r="G30" i="5"/>
  <c r="G30" i="6" s="1"/>
  <c r="F30" i="5"/>
  <c r="F30" i="6" s="1"/>
  <c r="D30" i="5"/>
  <c r="D30" i="6" s="1"/>
  <c r="C30" i="5"/>
  <c r="B30" i="5"/>
  <c r="K29" i="5"/>
  <c r="K29" i="6" s="1"/>
  <c r="H29" i="5"/>
  <c r="H29" i="6" s="1"/>
  <c r="G29" i="5"/>
  <c r="G29" i="6" s="1"/>
  <c r="F29" i="5"/>
  <c r="F29" i="6" s="1"/>
  <c r="D29" i="5"/>
  <c r="D29" i="6" s="1"/>
  <c r="C29" i="5"/>
  <c r="B29" i="5"/>
  <c r="K28" i="5"/>
  <c r="K28" i="6" s="1"/>
  <c r="H28" i="5"/>
  <c r="H28" i="6" s="1"/>
  <c r="G28" i="5"/>
  <c r="G28" i="6" s="1"/>
  <c r="F28" i="5"/>
  <c r="F28" i="6" s="1"/>
  <c r="D28" i="5"/>
  <c r="D28" i="6" s="1"/>
  <c r="C28" i="5"/>
  <c r="B28" i="5"/>
  <c r="K27" i="5"/>
  <c r="K27" i="6" s="1"/>
  <c r="H27" i="5"/>
  <c r="H27" i="6" s="1"/>
  <c r="G27" i="5"/>
  <c r="G27" i="6" s="1"/>
  <c r="F27" i="5"/>
  <c r="F27" i="6" s="1"/>
  <c r="D27" i="5"/>
  <c r="D27" i="6" s="1"/>
  <c r="C27" i="5"/>
  <c r="B27" i="5"/>
  <c r="K26" i="5"/>
  <c r="K26" i="6" s="1"/>
  <c r="H26" i="5"/>
  <c r="H26" i="6" s="1"/>
  <c r="G26" i="5"/>
  <c r="G26" i="6" s="1"/>
  <c r="F26" i="5"/>
  <c r="F26" i="6" s="1"/>
  <c r="D26" i="5"/>
  <c r="D26" i="6" s="1"/>
  <c r="C26" i="5"/>
  <c r="B26" i="5"/>
  <c r="K25" i="5"/>
  <c r="K25" i="6" s="1"/>
  <c r="H25" i="5"/>
  <c r="H25" i="6" s="1"/>
  <c r="G25" i="5"/>
  <c r="G25" i="6" s="1"/>
  <c r="F25" i="5"/>
  <c r="F25" i="6" s="1"/>
  <c r="D25" i="5"/>
  <c r="D25" i="6" s="1"/>
  <c r="C25" i="5"/>
  <c r="B25" i="5"/>
  <c r="K24" i="5"/>
  <c r="K24" i="6" s="1"/>
  <c r="H24" i="5"/>
  <c r="H24" i="6" s="1"/>
  <c r="G24" i="5"/>
  <c r="G24" i="6" s="1"/>
  <c r="F24" i="5"/>
  <c r="F24" i="6" s="1"/>
  <c r="D24" i="5"/>
  <c r="D24" i="6" s="1"/>
  <c r="C24" i="5"/>
  <c r="B24" i="5"/>
  <c r="K23" i="5"/>
  <c r="K23" i="6" s="1"/>
  <c r="H23" i="5"/>
  <c r="H23" i="6" s="1"/>
  <c r="G23" i="5"/>
  <c r="G23" i="6" s="1"/>
  <c r="F23" i="5"/>
  <c r="F23" i="6" s="1"/>
  <c r="D23" i="5"/>
  <c r="D23" i="6" s="1"/>
  <c r="C23" i="5"/>
  <c r="B23" i="5"/>
  <c r="K22" i="5"/>
  <c r="K22" i="6" s="1"/>
  <c r="H22" i="5"/>
  <c r="H22" i="6" s="1"/>
  <c r="G22" i="5"/>
  <c r="G22" i="6" s="1"/>
  <c r="F22" i="5"/>
  <c r="F22" i="6" s="1"/>
  <c r="D22" i="5"/>
  <c r="D22" i="6" s="1"/>
  <c r="C22" i="5"/>
  <c r="B22" i="5"/>
  <c r="K21" i="5"/>
  <c r="K21" i="6" s="1"/>
  <c r="H21" i="5"/>
  <c r="H21" i="6" s="1"/>
  <c r="G21" i="5"/>
  <c r="G21" i="6" s="1"/>
  <c r="F21" i="5"/>
  <c r="F21" i="6" s="1"/>
  <c r="D21" i="5"/>
  <c r="D21" i="6" s="1"/>
  <c r="C21" i="5"/>
  <c r="B21" i="5"/>
  <c r="K20" i="5"/>
  <c r="K20" i="6" s="1"/>
  <c r="H20" i="5"/>
  <c r="H20" i="6" s="1"/>
  <c r="G20" i="5"/>
  <c r="G20" i="6" s="1"/>
  <c r="F20" i="5"/>
  <c r="F20" i="6" s="1"/>
  <c r="D20" i="5"/>
  <c r="D20" i="6" s="1"/>
  <c r="C20" i="5"/>
  <c r="B20" i="5"/>
  <c r="K19" i="5"/>
  <c r="K19" i="6" s="1"/>
  <c r="H19" i="5"/>
  <c r="H19" i="6" s="1"/>
  <c r="G19" i="5"/>
  <c r="G19" i="6" s="1"/>
  <c r="F19" i="5"/>
  <c r="F19" i="6" s="1"/>
  <c r="D19" i="5"/>
  <c r="D19" i="6" s="1"/>
  <c r="C19" i="5"/>
  <c r="B19" i="5"/>
  <c r="K18" i="5"/>
  <c r="K18" i="6" s="1"/>
  <c r="H18" i="5"/>
  <c r="H18" i="6" s="1"/>
  <c r="G18" i="5"/>
  <c r="G18" i="6" s="1"/>
  <c r="F18" i="5"/>
  <c r="F18" i="6" s="1"/>
  <c r="D18" i="5"/>
  <c r="D18" i="6" s="1"/>
  <c r="C18" i="5"/>
  <c r="B18" i="5"/>
  <c r="K17" i="5"/>
  <c r="K17" i="6" s="1"/>
  <c r="H17" i="5"/>
  <c r="H17" i="6" s="1"/>
  <c r="G17" i="5"/>
  <c r="G17" i="6" s="1"/>
  <c r="F17" i="5"/>
  <c r="F17" i="6" s="1"/>
  <c r="D17" i="5"/>
  <c r="D17" i="6" s="1"/>
  <c r="C17" i="5"/>
  <c r="B17" i="5"/>
  <c r="K16" i="5"/>
  <c r="K16" i="6" s="1"/>
  <c r="H16" i="5"/>
  <c r="H16" i="6" s="1"/>
  <c r="G16" i="5"/>
  <c r="G16" i="6" s="1"/>
  <c r="F16" i="5"/>
  <c r="F16" i="6" s="1"/>
  <c r="D16" i="5"/>
  <c r="D16" i="6" s="1"/>
  <c r="C16" i="5"/>
  <c r="B16" i="5"/>
  <c r="K15" i="5"/>
  <c r="K15" i="6" s="1"/>
  <c r="H15" i="5"/>
  <c r="H15" i="6" s="1"/>
  <c r="G15" i="5"/>
  <c r="G15" i="6" s="1"/>
  <c r="F15" i="5"/>
  <c r="F15" i="6" s="1"/>
  <c r="D15" i="5"/>
  <c r="D15" i="6" s="1"/>
  <c r="C15" i="5"/>
  <c r="B15" i="5"/>
  <c r="K14" i="5"/>
  <c r="K14" i="6" s="1"/>
  <c r="H14" i="5"/>
  <c r="H14" i="6" s="1"/>
  <c r="G14" i="5"/>
  <c r="G14" i="6" s="1"/>
  <c r="F14" i="5"/>
  <c r="F14" i="6" s="1"/>
  <c r="D14" i="5"/>
  <c r="D14" i="6" s="1"/>
  <c r="C14" i="5"/>
  <c r="B14" i="5"/>
  <c r="K13" i="5"/>
  <c r="K13" i="6" s="1"/>
  <c r="H13" i="5"/>
  <c r="H13" i="6" s="1"/>
  <c r="G13" i="5"/>
  <c r="G13" i="6" s="1"/>
  <c r="F13" i="5"/>
  <c r="F13" i="6" s="1"/>
  <c r="D13" i="5"/>
  <c r="D13" i="6" s="1"/>
  <c r="C13" i="5"/>
  <c r="B13" i="5"/>
  <c r="K12" i="5"/>
  <c r="K12" i="6" s="1"/>
  <c r="H12" i="5"/>
  <c r="H12" i="6" s="1"/>
  <c r="G12" i="5"/>
  <c r="G12" i="6" s="1"/>
  <c r="F12" i="5"/>
  <c r="F12" i="6" s="1"/>
  <c r="D12" i="5"/>
  <c r="D12" i="6" s="1"/>
  <c r="C12" i="5"/>
  <c r="B12" i="5"/>
  <c r="K11" i="5"/>
  <c r="K11" i="6" s="1"/>
  <c r="H11" i="5"/>
  <c r="H11" i="6" s="1"/>
  <c r="G11" i="5"/>
  <c r="G11" i="6" s="1"/>
  <c r="F11" i="5"/>
  <c r="F11" i="6" s="1"/>
  <c r="D11" i="5"/>
  <c r="D11" i="6" s="1"/>
  <c r="C11" i="5"/>
  <c r="B11" i="5"/>
  <c r="K10" i="5"/>
  <c r="K10" i="6" s="1"/>
  <c r="H10" i="5"/>
  <c r="H10" i="6" s="1"/>
  <c r="G10" i="5"/>
  <c r="G10" i="6" s="1"/>
  <c r="F10" i="5"/>
  <c r="F10" i="6" s="1"/>
  <c r="D10" i="5"/>
  <c r="D10" i="6" s="1"/>
  <c r="C10" i="5"/>
  <c r="B10" i="5"/>
  <c r="K9" i="5"/>
  <c r="K9" i="6" s="1"/>
  <c r="H9" i="5"/>
  <c r="H9" i="6" s="1"/>
  <c r="G9" i="5"/>
  <c r="G9" i="6" s="1"/>
  <c r="F9" i="5"/>
  <c r="F9" i="6" s="1"/>
  <c r="D9" i="5"/>
  <c r="D9" i="6" s="1"/>
  <c r="C9" i="5"/>
  <c r="B9" i="5"/>
  <c r="C8" i="5"/>
  <c r="B8" i="5"/>
  <c r="B4" i="5"/>
  <c r="B3" i="5"/>
  <c r="K92" i="4"/>
  <c r="H92" i="4"/>
  <c r="G92" i="4"/>
  <c r="F92" i="4"/>
  <c r="D92" i="4"/>
  <c r="C92" i="4"/>
  <c r="B92" i="4"/>
  <c r="K90" i="4"/>
  <c r="H90" i="4"/>
  <c r="G90" i="4"/>
  <c r="F90" i="4"/>
  <c r="D90" i="4"/>
  <c r="C90" i="4"/>
  <c r="B90" i="4"/>
  <c r="K88" i="4"/>
  <c r="H88" i="4"/>
  <c r="G88" i="4"/>
  <c r="F88" i="4"/>
  <c r="D88" i="4"/>
  <c r="C88" i="4"/>
  <c r="K86" i="4"/>
  <c r="H86" i="4"/>
  <c r="G86" i="4"/>
  <c r="F86" i="4"/>
  <c r="D86" i="4"/>
  <c r="C86" i="4"/>
  <c r="K84" i="4"/>
  <c r="H84" i="4"/>
  <c r="G84" i="4"/>
  <c r="F84" i="4"/>
  <c r="D84" i="4"/>
  <c r="C84" i="4"/>
  <c r="K82" i="4"/>
  <c r="H82" i="4"/>
  <c r="G82" i="4"/>
  <c r="F82" i="4"/>
  <c r="D82" i="4"/>
  <c r="C82" i="4"/>
  <c r="K81" i="4"/>
  <c r="H81" i="4"/>
  <c r="G81" i="4"/>
  <c r="F81" i="4"/>
  <c r="D81" i="4"/>
  <c r="C81" i="4"/>
  <c r="B81" i="4"/>
  <c r="K80" i="4"/>
  <c r="H80" i="4"/>
  <c r="G80" i="4"/>
  <c r="F80" i="4"/>
  <c r="D80" i="4"/>
  <c r="C80" i="4"/>
  <c r="B80" i="4"/>
  <c r="K79" i="4"/>
  <c r="H79" i="4"/>
  <c r="G79" i="4"/>
  <c r="F79" i="4"/>
  <c r="D79" i="4"/>
  <c r="C79" i="4"/>
  <c r="B79" i="4"/>
  <c r="K78" i="4"/>
  <c r="H78" i="4"/>
  <c r="G78" i="4"/>
  <c r="F78" i="4"/>
  <c r="D78" i="4"/>
  <c r="C78" i="4"/>
  <c r="B78" i="4"/>
  <c r="K77" i="4"/>
  <c r="H77" i="4"/>
  <c r="G77" i="4"/>
  <c r="F77" i="4"/>
  <c r="D77" i="4"/>
  <c r="C77" i="4"/>
  <c r="B77" i="4"/>
  <c r="K76" i="4"/>
  <c r="H76" i="4"/>
  <c r="G76" i="4"/>
  <c r="F76" i="4"/>
  <c r="D76" i="4"/>
  <c r="C76" i="4"/>
  <c r="B76" i="4"/>
  <c r="K75" i="4"/>
  <c r="H75" i="4"/>
  <c r="G75" i="4"/>
  <c r="F75" i="4"/>
  <c r="D75" i="4"/>
  <c r="C75" i="4"/>
  <c r="B75" i="4"/>
  <c r="K74" i="4"/>
  <c r="H74" i="4"/>
  <c r="G74" i="4"/>
  <c r="F74" i="4"/>
  <c r="D74" i="4"/>
  <c r="C74" i="4"/>
  <c r="B74" i="4"/>
  <c r="K73" i="4"/>
  <c r="H73" i="4"/>
  <c r="G73" i="4"/>
  <c r="F73" i="4"/>
  <c r="D73" i="4"/>
  <c r="C73" i="4"/>
  <c r="B73" i="4"/>
  <c r="K72" i="4"/>
  <c r="H72" i="4"/>
  <c r="G72" i="4"/>
  <c r="F72" i="4"/>
  <c r="D72" i="4"/>
  <c r="C72" i="4"/>
  <c r="B72" i="4"/>
  <c r="C71" i="4"/>
  <c r="K69" i="4"/>
  <c r="H69" i="4"/>
  <c r="G69" i="4"/>
  <c r="F69" i="4"/>
  <c r="D69" i="4"/>
  <c r="C69" i="4"/>
  <c r="K68" i="4"/>
  <c r="H68" i="4"/>
  <c r="G68" i="4"/>
  <c r="F68" i="4"/>
  <c r="D68" i="4"/>
  <c r="C68" i="4"/>
  <c r="B68" i="4"/>
  <c r="K67" i="4"/>
  <c r="H67" i="4"/>
  <c r="G67" i="4"/>
  <c r="F67" i="4"/>
  <c r="D67" i="4"/>
  <c r="C67" i="4"/>
  <c r="B67" i="4"/>
  <c r="K66" i="4"/>
  <c r="H66" i="4"/>
  <c r="G66" i="4"/>
  <c r="F66" i="4"/>
  <c r="D66" i="4"/>
  <c r="C66" i="4"/>
  <c r="B66" i="4"/>
  <c r="K65" i="4"/>
  <c r="H65" i="4"/>
  <c r="G65" i="4"/>
  <c r="F65" i="4"/>
  <c r="D65" i="4"/>
  <c r="C65" i="4"/>
  <c r="B65" i="4"/>
  <c r="K64" i="4"/>
  <c r="H64" i="4"/>
  <c r="G64" i="4"/>
  <c r="F64" i="4"/>
  <c r="D64" i="4"/>
  <c r="C64" i="4"/>
  <c r="B64" i="4"/>
  <c r="K63" i="4"/>
  <c r="H63" i="4"/>
  <c r="G63" i="4"/>
  <c r="F63" i="4"/>
  <c r="D63" i="4"/>
  <c r="C63" i="4"/>
  <c r="B63" i="4"/>
  <c r="K62" i="4"/>
  <c r="H62" i="4"/>
  <c r="G62" i="4"/>
  <c r="F62" i="4"/>
  <c r="D62" i="4"/>
  <c r="C62" i="4"/>
  <c r="B62" i="4"/>
  <c r="K61" i="4"/>
  <c r="H61" i="4"/>
  <c r="G61" i="4"/>
  <c r="F61" i="4"/>
  <c r="D61" i="4"/>
  <c r="C61" i="4"/>
  <c r="B61" i="4"/>
  <c r="K60" i="4"/>
  <c r="H60" i="4"/>
  <c r="G60" i="4"/>
  <c r="F60" i="4"/>
  <c r="D60" i="4"/>
  <c r="C60" i="4"/>
  <c r="B60" i="4"/>
  <c r="K59" i="4"/>
  <c r="H59" i="4"/>
  <c r="G59" i="4"/>
  <c r="F59" i="4"/>
  <c r="D59" i="4"/>
  <c r="C59" i="4"/>
  <c r="B59" i="4"/>
  <c r="K58" i="4"/>
  <c r="H58" i="4"/>
  <c r="G58" i="4"/>
  <c r="F58" i="4"/>
  <c r="D58" i="4"/>
  <c r="C58" i="4"/>
  <c r="B58" i="4"/>
  <c r="K57" i="4"/>
  <c r="H57" i="4"/>
  <c r="G57" i="4"/>
  <c r="F57" i="4"/>
  <c r="D57" i="4"/>
  <c r="C57" i="4"/>
  <c r="B57" i="4"/>
  <c r="K56" i="4"/>
  <c r="H56" i="4"/>
  <c r="G56" i="4"/>
  <c r="F56" i="4"/>
  <c r="D56" i="4"/>
  <c r="C56" i="4"/>
  <c r="B56" i="4"/>
  <c r="K55" i="4"/>
  <c r="H55" i="4"/>
  <c r="G55" i="4"/>
  <c r="F55" i="4"/>
  <c r="D55" i="4"/>
  <c r="C55" i="4"/>
  <c r="B55" i="4"/>
  <c r="K54" i="4"/>
  <c r="H54" i="4"/>
  <c r="G54" i="4"/>
  <c r="F54" i="4"/>
  <c r="D54" i="4"/>
  <c r="C54" i="4"/>
  <c r="B54" i="4"/>
  <c r="K53" i="4"/>
  <c r="H53" i="4"/>
  <c r="G53" i="4"/>
  <c r="F53" i="4"/>
  <c r="D53" i="4"/>
  <c r="C53" i="4"/>
  <c r="B53" i="4"/>
  <c r="K52" i="4"/>
  <c r="H52" i="4"/>
  <c r="G52" i="4"/>
  <c r="F52" i="4"/>
  <c r="D52" i="4"/>
  <c r="C52" i="4"/>
  <c r="B52" i="4"/>
  <c r="K51" i="4"/>
  <c r="H51" i="4"/>
  <c r="G51" i="4"/>
  <c r="F51" i="4"/>
  <c r="D51" i="4"/>
  <c r="C51" i="4"/>
  <c r="B51" i="4"/>
  <c r="K50" i="4"/>
  <c r="H50" i="4"/>
  <c r="G50" i="4"/>
  <c r="F50" i="4"/>
  <c r="D50" i="4"/>
  <c r="C50" i="4"/>
  <c r="B50" i="4"/>
  <c r="K49" i="4"/>
  <c r="H49" i="4"/>
  <c r="G49" i="4"/>
  <c r="F49" i="4"/>
  <c r="D49" i="4"/>
  <c r="C49" i="4"/>
  <c r="B49" i="4"/>
  <c r="K48" i="4"/>
  <c r="H48" i="4"/>
  <c r="G48" i="4"/>
  <c r="F48" i="4"/>
  <c r="D48" i="4"/>
  <c r="C48" i="4"/>
  <c r="B48" i="4"/>
  <c r="K47" i="4"/>
  <c r="H47" i="4"/>
  <c r="G47" i="4"/>
  <c r="F47" i="4"/>
  <c r="D47" i="4"/>
  <c r="C47" i="4"/>
  <c r="B47" i="4"/>
  <c r="K46" i="4"/>
  <c r="H46" i="4"/>
  <c r="G46" i="4"/>
  <c r="F46" i="4"/>
  <c r="D46" i="4"/>
  <c r="C46" i="4"/>
  <c r="B46" i="4"/>
  <c r="K45" i="4"/>
  <c r="H45" i="4"/>
  <c r="H99" i="4" s="1"/>
  <c r="G45" i="4"/>
  <c r="F45" i="4"/>
  <c r="F99" i="4" s="1"/>
  <c r="D45" i="4"/>
  <c r="C45" i="4"/>
  <c r="B45" i="4"/>
  <c r="C44" i="4"/>
  <c r="K42" i="4"/>
  <c r="K100" i="4" s="1"/>
  <c r="H42" i="4"/>
  <c r="H100" i="4" s="1"/>
  <c r="G42" i="4"/>
  <c r="G100" i="4" s="1"/>
  <c r="F42" i="4"/>
  <c r="F100" i="4" s="1"/>
  <c r="D42" i="4"/>
  <c r="D100" i="4" s="1"/>
  <c r="C42" i="4"/>
  <c r="K40" i="4"/>
  <c r="H40" i="4"/>
  <c r="G40" i="4"/>
  <c r="F40" i="4"/>
  <c r="D40" i="4"/>
  <c r="C40" i="4"/>
  <c r="B40" i="4"/>
  <c r="K38" i="4"/>
  <c r="K101" i="4" s="1"/>
  <c r="H38" i="4"/>
  <c r="H101" i="4" s="1"/>
  <c r="G38" i="4"/>
  <c r="G101" i="4" s="1"/>
  <c r="F38" i="4"/>
  <c r="F101" i="4" s="1"/>
  <c r="D38" i="4"/>
  <c r="D101" i="4" s="1"/>
  <c r="C38" i="4"/>
  <c r="K37" i="4"/>
  <c r="H37" i="4"/>
  <c r="G37" i="4"/>
  <c r="F37" i="4"/>
  <c r="D37" i="4"/>
  <c r="C37" i="4"/>
  <c r="B37" i="4"/>
  <c r="K36" i="4"/>
  <c r="H36" i="4"/>
  <c r="G36" i="4"/>
  <c r="F36" i="4"/>
  <c r="D36" i="4"/>
  <c r="C36" i="4"/>
  <c r="B36" i="4"/>
  <c r="K35" i="4"/>
  <c r="H35" i="4"/>
  <c r="G35" i="4"/>
  <c r="F35" i="4"/>
  <c r="D35" i="4"/>
  <c r="C35" i="4"/>
  <c r="B35" i="4"/>
  <c r="K34" i="4"/>
  <c r="H34" i="4"/>
  <c r="G34" i="4"/>
  <c r="F34" i="4"/>
  <c r="D34" i="4"/>
  <c r="C34" i="4"/>
  <c r="B34" i="4"/>
  <c r="K33" i="4"/>
  <c r="H33" i="4"/>
  <c r="G33" i="4"/>
  <c r="F33" i="4"/>
  <c r="D33" i="4"/>
  <c r="C33" i="4"/>
  <c r="B33" i="4"/>
  <c r="K32" i="4"/>
  <c r="H32" i="4"/>
  <c r="G32" i="4"/>
  <c r="F32" i="4"/>
  <c r="D32" i="4"/>
  <c r="C32" i="4"/>
  <c r="B32" i="4"/>
  <c r="K31" i="4"/>
  <c r="H31" i="4"/>
  <c r="G31" i="4"/>
  <c r="F31" i="4"/>
  <c r="D31" i="4"/>
  <c r="C31" i="4"/>
  <c r="B31" i="4"/>
  <c r="K30" i="4"/>
  <c r="H30" i="4"/>
  <c r="G30" i="4"/>
  <c r="F30" i="4"/>
  <c r="D30" i="4"/>
  <c r="C30" i="4"/>
  <c r="B30" i="4"/>
  <c r="K29" i="4"/>
  <c r="H29" i="4"/>
  <c r="G29" i="4"/>
  <c r="F29" i="4"/>
  <c r="D29" i="4"/>
  <c r="C29" i="4"/>
  <c r="B29" i="4"/>
  <c r="K28" i="4"/>
  <c r="H28" i="4"/>
  <c r="G28" i="4"/>
  <c r="F28" i="4"/>
  <c r="D28" i="4"/>
  <c r="C28" i="4"/>
  <c r="B28" i="4"/>
  <c r="K27" i="4"/>
  <c r="H27" i="4"/>
  <c r="G27" i="4"/>
  <c r="F27" i="4"/>
  <c r="D27" i="4"/>
  <c r="C27" i="4"/>
  <c r="B27" i="4"/>
  <c r="K26" i="4"/>
  <c r="H26" i="4"/>
  <c r="G26" i="4"/>
  <c r="F26" i="4"/>
  <c r="D26" i="4"/>
  <c r="C26" i="4"/>
  <c r="B26" i="4"/>
  <c r="K25" i="4"/>
  <c r="H25" i="4"/>
  <c r="G25" i="4"/>
  <c r="F25" i="4"/>
  <c r="D25" i="4"/>
  <c r="C25" i="4"/>
  <c r="B25" i="4"/>
  <c r="K24" i="4"/>
  <c r="H24" i="4"/>
  <c r="G24" i="4"/>
  <c r="F24" i="4"/>
  <c r="D24" i="4"/>
  <c r="C24" i="4"/>
  <c r="B24" i="4"/>
  <c r="K23" i="4"/>
  <c r="H23" i="4"/>
  <c r="G23" i="4"/>
  <c r="F23" i="4"/>
  <c r="D23" i="4"/>
  <c r="C23" i="4"/>
  <c r="B23" i="4"/>
  <c r="K22" i="4"/>
  <c r="H22" i="4"/>
  <c r="G22" i="4"/>
  <c r="F22" i="4"/>
  <c r="D22" i="4"/>
  <c r="K21" i="4"/>
  <c r="H21" i="4"/>
  <c r="G21" i="4"/>
  <c r="F21" i="4"/>
  <c r="D21" i="4"/>
  <c r="K20" i="4"/>
  <c r="H20" i="4"/>
  <c r="G20" i="4"/>
  <c r="F20" i="4"/>
  <c r="D20" i="4"/>
  <c r="K19" i="4"/>
  <c r="H19" i="4"/>
  <c r="G19" i="4"/>
  <c r="F19" i="4"/>
  <c r="D19" i="4"/>
  <c r="K18" i="4"/>
  <c r="H18" i="4"/>
  <c r="G18" i="4"/>
  <c r="F18" i="4"/>
  <c r="D18" i="4"/>
  <c r="K17" i="4"/>
  <c r="H17" i="4"/>
  <c r="G17" i="4"/>
  <c r="F17" i="4"/>
  <c r="D17" i="4"/>
  <c r="K16" i="4"/>
  <c r="H16" i="4"/>
  <c r="H97" i="4" s="1"/>
  <c r="G16" i="4"/>
  <c r="F16" i="4"/>
  <c r="F97" i="4" s="1"/>
  <c r="D16" i="4"/>
  <c r="C16" i="4"/>
  <c r="B16" i="4"/>
  <c r="K15" i="4"/>
  <c r="H15" i="4"/>
  <c r="G15" i="4"/>
  <c r="F15" i="4"/>
  <c r="D15" i="4"/>
  <c r="C15" i="4"/>
  <c r="B15" i="4"/>
  <c r="K14" i="4"/>
  <c r="H14" i="4"/>
  <c r="G14" i="4"/>
  <c r="F14" i="4"/>
  <c r="D14" i="4"/>
  <c r="C14" i="4"/>
  <c r="B14" i="4"/>
  <c r="K13" i="4"/>
  <c r="H13" i="4"/>
  <c r="G13" i="4"/>
  <c r="F13" i="4"/>
  <c r="D13" i="4"/>
  <c r="K12" i="4"/>
  <c r="H12" i="4"/>
  <c r="G12" i="4"/>
  <c r="F12" i="4"/>
  <c r="D12" i="4"/>
  <c r="K11" i="4"/>
  <c r="K98" i="4" s="1"/>
  <c r="H11" i="4"/>
  <c r="G11" i="4"/>
  <c r="G98" i="4" s="1"/>
  <c r="F11" i="4"/>
  <c r="D11" i="4"/>
  <c r="D98" i="4" s="1"/>
  <c r="C11" i="4"/>
  <c r="B11" i="4"/>
  <c r="K10" i="4"/>
  <c r="H10" i="4"/>
  <c r="G10" i="4"/>
  <c r="F10" i="4"/>
  <c r="D10" i="4"/>
  <c r="C10" i="4"/>
  <c r="B10" i="4"/>
  <c r="K9" i="4"/>
  <c r="H9" i="4"/>
  <c r="G9" i="4"/>
  <c r="F9" i="4"/>
  <c r="D9" i="4"/>
  <c r="C9" i="4"/>
  <c r="B9" i="4"/>
  <c r="B4" i="4"/>
  <c r="B3" i="4"/>
  <c r="K106" i="3"/>
  <c r="H106" i="3"/>
  <c r="G106" i="3"/>
  <c r="F106" i="3"/>
  <c r="D106" i="3"/>
  <c r="I104" i="3"/>
  <c r="I87" i="12" s="1"/>
  <c r="E104" i="3"/>
  <c r="E87" i="12" s="1"/>
  <c r="I102" i="3"/>
  <c r="I85" i="12" s="1"/>
  <c r="E102" i="3"/>
  <c r="E85" i="12" s="1"/>
  <c r="I100" i="3"/>
  <c r="I83" i="12" s="1"/>
  <c r="E100" i="3"/>
  <c r="E83" i="12" s="1"/>
  <c r="I99" i="3"/>
  <c r="I82" i="12" s="1"/>
  <c r="E99" i="3"/>
  <c r="E82" i="12" s="1"/>
  <c r="I98" i="3"/>
  <c r="I81" i="12" s="1"/>
  <c r="E98" i="3"/>
  <c r="E81" i="12" s="1"/>
  <c r="I97" i="3"/>
  <c r="I80" i="12" s="1"/>
  <c r="E97" i="3"/>
  <c r="E80" i="12" s="1"/>
  <c r="I96" i="3"/>
  <c r="I79" i="12" s="1"/>
  <c r="E96" i="3"/>
  <c r="E79" i="12" s="1"/>
  <c r="I95" i="3"/>
  <c r="I78" i="12" s="1"/>
  <c r="E95" i="3"/>
  <c r="E78" i="12" s="1"/>
  <c r="I94" i="3"/>
  <c r="I77" i="12" s="1"/>
  <c r="E94" i="3"/>
  <c r="E77" i="12" s="1"/>
  <c r="E93" i="3"/>
  <c r="I92" i="3"/>
  <c r="I75" i="12" s="1"/>
  <c r="E92" i="3"/>
  <c r="E75" i="12" s="1"/>
  <c r="I91" i="3"/>
  <c r="I74" i="12" s="1"/>
  <c r="E91" i="3"/>
  <c r="E74" i="12" s="1"/>
  <c r="I90" i="3"/>
  <c r="I73" i="12" s="1"/>
  <c r="E90" i="3"/>
  <c r="E73" i="12" s="1"/>
  <c r="I89" i="3"/>
  <c r="I72" i="12" s="1"/>
  <c r="E89" i="3"/>
  <c r="E72" i="12" s="1"/>
  <c r="I88" i="3"/>
  <c r="I71" i="12" s="1"/>
  <c r="E88" i="3"/>
  <c r="E71" i="12" s="1"/>
  <c r="I87" i="3"/>
  <c r="I70" i="12" s="1"/>
  <c r="E87" i="3"/>
  <c r="E70" i="12" s="1"/>
  <c r="I85" i="3"/>
  <c r="I68" i="12" s="1"/>
  <c r="E85" i="3"/>
  <c r="E68" i="12" s="1"/>
  <c r="I84" i="3"/>
  <c r="I67" i="12" s="1"/>
  <c r="E84" i="3"/>
  <c r="E67" i="12" s="1"/>
  <c r="I83" i="3"/>
  <c r="I66" i="12" s="1"/>
  <c r="E83" i="3"/>
  <c r="E66" i="12" s="1"/>
  <c r="I82" i="3"/>
  <c r="I65" i="12" s="1"/>
  <c r="E82" i="3"/>
  <c r="E65" i="12" s="1"/>
  <c r="I81" i="3"/>
  <c r="I64" i="12" s="1"/>
  <c r="E81" i="3"/>
  <c r="E64" i="12" s="1"/>
  <c r="I80" i="3"/>
  <c r="I63" i="12" s="1"/>
  <c r="E80" i="3"/>
  <c r="E63" i="12" s="1"/>
  <c r="I79" i="3"/>
  <c r="I62" i="12" s="1"/>
  <c r="E79" i="3"/>
  <c r="E62" i="12" s="1"/>
  <c r="I78" i="3"/>
  <c r="I61" i="12" s="1"/>
  <c r="E78" i="3"/>
  <c r="E61" i="12" s="1"/>
  <c r="I77" i="3"/>
  <c r="I60" i="12" s="1"/>
  <c r="E77" i="3"/>
  <c r="E60" i="12" s="1"/>
  <c r="I75" i="3"/>
  <c r="I58" i="12" s="1"/>
  <c r="E75" i="3"/>
  <c r="E58" i="12" s="1"/>
  <c r="I74" i="3"/>
  <c r="I57" i="12" s="1"/>
  <c r="E74" i="3"/>
  <c r="E57" i="12" s="1"/>
  <c r="I73" i="3"/>
  <c r="I56" i="12" s="1"/>
  <c r="E73" i="3"/>
  <c r="E56" i="12" s="1"/>
  <c r="I72" i="3"/>
  <c r="I55" i="12" s="1"/>
  <c r="E72" i="3"/>
  <c r="E55" i="12" s="1"/>
  <c r="I71" i="3"/>
  <c r="I54" i="12" s="1"/>
  <c r="E71" i="3"/>
  <c r="E54" i="12" s="1"/>
  <c r="I70" i="3"/>
  <c r="I53" i="12" s="1"/>
  <c r="E70" i="3"/>
  <c r="E53" i="12" s="1"/>
  <c r="I69" i="3"/>
  <c r="I52" i="12" s="1"/>
  <c r="E69" i="3"/>
  <c r="E52" i="12" s="1"/>
  <c r="I68" i="3"/>
  <c r="I51" i="12" s="1"/>
  <c r="E68" i="3"/>
  <c r="E51" i="12" s="1"/>
  <c r="I66" i="3"/>
  <c r="I49" i="12" s="1"/>
  <c r="E66" i="3"/>
  <c r="E49" i="12" s="1"/>
  <c r="I65" i="3"/>
  <c r="I48" i="12" s="1"/>
  <c r="E65" i="3"/>
  <c r="E48" i="12" s="1"/>
  <c r="I64" i="3"/>
  <c r="I47" i="12" s="1"/>
  <c r="E64" i="3"/>
  <c r="E47" i="12" s="1"/>
  <c r="I63" i="3"/>
  <c r="I46" i="12" s="1"/>
  <c r="E63" i="3"/>
  <c r="E46" i="12" s="1"/>
  <c r="I62" i="3"/>
  <c r="I45" i="12" s="1"/>
  <c r="E62" i="3"/>
  <c r="E45" i="12" s="1"/>
  <c r="I61" i="3"/>
  <c r="I44" i="12" s="1"/>
  <c r="E61" i="3"/>
  <c r="E44" i="12" s="1"/>
  <c r="I60" i="3"/>
  <c r="I43" i="12" s="1"/>
  <c r="E60" i="3"/>
  <c r="E43" i="12" s="1"/>
  <c r="I59" i="3"/>
  <c r="I42" i="12" s="1"/>
  <c r="E59" i="3"/>
  <c r="E42" i="12" s="1"/>
  <c r="I58" i="3"/>
  <c r="I41" i="12" s="1"/>
  <c r="E58" i="3"/>
  <c r="E41" i="12" s="1"/>
  <c r="I57" i="3"/>
  <c r="I40" i="12" s="1"/>
  <c r="E57" i="3"/>
  <c r="E40" i="12" s="1"/>
  <c r="I56" i="3"/>
  <c r="I39" i="12" s="1"/>
  <c r="E56" i="3"/>
  <c r="E39" i="12" s="1"/>
  <c r="I55" i="3"/>
  <c r="I38" i="12" s="1"/>
  <c r="E55" i="3"/>
  <c r="E38" i="12" s="1"/>
  <c r="I54" i="3"/>
  <c r="I37" i="12" s="1"/>
  <c r="E54" i="3"/>
  <c r="E37" i="12" s="1"/>
  <c r="I53" i="3"/>
  <c r="I36" i="12" s="1"/>
  <c r="E53" i="3"/>
  <c r="E36" i="12" s="1"/>
  <c r="I52" i="3"/>
  <c r="I35" i="12" s="1"/>
  <c r="E52" i="3"/>
  <c r="E35" i="12" s="1"/>
  <c r="I51" i="3"/>
  <c r="I34" i="12" s="1"/>
  <c r="E51" i="3"/>
  <c r="E34" i="12" s="1"/>
  <c r="I50" i="3"/>
  <c r="I33" i="12" s="1"/>
  <c r="E50" i="3"/>
  <c r="E33" i="12" s="1"/>
  <c r="I49" i="3"/>
  <c r="I32" i="12" s="1"/>
  <c r="E49" i="3"/>
  <c r="E32" i="12" s="1"/>
  <c r="I48" i="3"/>
  <c r="I31" i="12" s="1"/>
  <c r="E48" i="3"/>
  <c r="E31" i="12" s="1"/>
  <c r="I47" i="3"/>
  <c r="E47" i="3"/>
  <c r="J47" i="3" s="1"/>
  <c r="I46" i="3"/>
  <c r="E46" i="3"/>
  <c r="J46" i="3" s="1"/>
  <c r="I45" i="3"/>
  <c r="E45" i="3"/>
  <c r="J45" i="3" s="1"/>
  <c r="I44" i="3"/>
  <c r="I30" i="12" s="1"/>
  <c r="E44" i="3"/>
  <c r="E30" i="12" s="1"/>
  <c r="I43" i="3"/>
  <c r="I29" i="12" s="1"/>
  <c r="E43" i="3"/>
  <c r="E29" i="12" s="1"/>
  <c r="I42" i="3"/>
  <c r="I28" i="12" s="1"/>
  <c r="E42" i="3"/>
  <c r="E28" i="12" s="1"/>
  <c r="I41" i="3"/>
  <c r="I27" i="12" s="1"/>
  <c r="E41" i="3"/>
  <c r="E27" i="12" s="1"/>
  <c r="I40" i="3"/>
  <c r="E40" i="3"/>
  <c r="J40" i="3" s="1"/>
  <c r="I39" i="3"/>
  <c r="E39" i="3"/>
  <c r="J39" i="3" s="1"/>
  <c r="I38" i="3"/>
  <c r="E38" i="3"/>
  <c r="J38" i="3" s="1"/>
  <c r="I37" i="3"/>
  <c r="E37" i="3"/>
  <c r="J37" i="3" s="1"/>
  <c r="I36" i="3"/>
  <c r="E36" i="3"/>
  <c r="J36" i="3" s="1"/>
  <c r="I35" i="3"/>
  <c r="I26" i="12" s="1"/>
  <c r="E35" i="3"/>
  <c r="E26" i="12" s="1"/>
  <c r="I34" i="3"/>
  <c r="I25" i="12" s="1"/>
  <c r="E34" i="3"/>
  <c r="E25" i="12" s="1"/>
  <c r="I32" i="3"/>
  <c r="I23" i="12" s="1"/>
  <c r="E32" i="3"/>
  <c r="E23" i="12" s="1"/>
  <c r="I31" i="3"/>
  <c r="I22" i="12" s="1"/>
  <c r="E31" i="3"/>
  <c r="E22" i="12" s="1"/>
  <c r="I30" i="3"/>
  <c r="I21" i="12" s="1"/>
  <c r="E30" i="3"/>
  <c r="E21" i="12" s="1"/>
  <c r="I29" i="3"/>
  <c r="I20" i="12" s="1"/>
  <c r="E29" i="3"/>
  <c r="E20" i="12" s="1"/>
  <c r="I28" i="3"/>
  <c r="I19" i="12" s="1"/>
  <c r="E28" i="3"/>
  <c r="E19" i="12" s="1"/>
  <c r="I27" i="3"/>
  <c r="I18" i="12" s="1"/>
  <c r="E27" i="3"/>
  <c r="E18" i="12" s="1"/>
  <c r="I26" i="3"/>
  <c r="I17" i="12" s="1"/>
  <c r="E26" i="3"/>
  <c r="E17" i="12" s="1"/>
  <c r="I25" i="3"/>
  <c r="I16" i="12" s="1"/>
  <c r="E25" i="3"/>
  <c r="E16" i="12" s="1"/>
  <c r="I24" i="3"/>
  <c r="E24" i="3"/>
  <c r="J24" i="3" s="1"/>
  <c r="I23" i="3"/>
  <c r="E23" i="3"/>
  <c r="J23" i="3" s="1"/>
  <c r="I22" i="3"/>
  <c r="E22" i="3"/>
  <c r="J22" i="3" s="1"/>
  <c r="I21" i="3"/>
  <c r="E21" i="3"/>
  <c r="J21" i="3" s="1"/>
  <c r="I20" i="3"/>
  <c r="E20" i="3"/>
  <c r="J20" i="3" s="1"/>
  <c r="I19" i="3"/>
  <c r="E19" i="3"/>
  <c r="J19" i="3" s="1"/>
  <c r="I18" i="3"/>
  <c r="E18" i="3"/>
  <c r="J18" i="3" s="1"/>
  <c r="I17" i="3"/>
  <c r="E17" i="3"/>
  <c r="J17" i="3" s="1"/>
  <c r="I16" i="3"/>
  <c r="E16" i="3"/>
  <c r="J16" i="3" s="1"/>
  <c r="I15" i="3"/>
  <c r="I15" i="12" s="1"/>
  <c r="E15" i="3"/>
  <c r="E15" i="12" s="1"/>
  <c r="I14" i="3"/>
  <c r="I14" i="12" s="1"/>
  <c r="E14" i="3"/>
  <c r="E14" i="12" s="1"/>
  <c r="I13" i="3"/>
  <c r="I13" i="12" s="1"/>
  <c r="E13" i="3"/>
  <c r="E13" i="12" s="1"/>
  <c r="I12" i="3"/>
  <c r="I12" i="12" s="1"/>
  <c r="E12" i="3"/>
  <c r="E12" i="12" s="1"/>
  <c r="I11" i="3"/>
  <c r="I11" i="12" s="1"/>
  <c r="I11" i="13" s="1"/>
  <c r="E11" i="3"/>
  <c r="E11" i="12" s="1"/>
  <c r="I9" i="3"/>
  <c r="I9" i="12" s="1"/>
  <c r="I9" i="13" s="1"/>
  <c r="E9" i="3"/>
  <c r="E9" i="12" s="1"/>
  <c r="E9" i="13" s="1"/>
  <c r="B3" i="3"/>
  <c r="H1377" i="2"/>
  <c r="G1377" i="2"/>
  <c r="F1377" i="2"/>
  <c r="I1377" i="2" s="1"/>
  <c r="D1377" i="2"/>
  <c r="E1377" i="2" s="1"/>
  <c r="H1376" i="2"/>
  <c r="G1376" i="2"/>
  <c r="F1376" i="2"/>
  <c r="I1376" i="2" s="1"/>
  <c r="D1376" i="2"/>
  <c r="E1376" i="2" s="1"/>
  <c r="K1369" i="2"/>
  <c r="H1369" i="2"/>
  <c r="G1369" i="2"/>
  <c r="F1369" i="2"/>
  <c r="D1369" i="2"/>
  <c r="K1368" i="2"/>
  <c r="H1368" i="2"/>
  <c r="H1370" i="2" s="1"/>
  <c r="G1368" i="2"/>
  <c r="F1368" i="2"/>
  <c r="F1370" i="2" s="1"/>
  <c r="D1368" i="2"/>
  <c r="K1366" i="2"/>
  <c r="H1366" i="2"/>
  <c r="G1366" i="2"/>
  <c r="F1366" i="2"/>
  <c r="D1366" i="2"/>
  <c r="C1366" i="2"/>
  <c r="B1366" i="2"/>
  <c r="K1365" i="2"/>
  <c r="H1365" i="2"/>
  <c r="G1365" i="2"/>
  <c r="F1365" i="2"/>
  <c r="D1365" i="2"/>
  <c r="C1365" i="2"/>
  <c r="B1365" i="2"/>
  <c r="K1364" i="2"/>
  <c r="H1364" i="2"/>
  <c r="G1364" i="2"/>
  <c r="F1364" i="2"/>
  <c r="D1364" i="2"/>
  <c r="C1364" i="2"/>
  <c r="B1364" i="2"/>
  <c r="K1363" i="2"/>
  <c r="H1363" i="2"/>
  <c r="G1363" i="2"/>
  <c r="F1363" i="2"/>
  <c r="D1363" i="2"/>
  <c r="C1363" i="2"/>
  <c r="B1363" i="2"/>
  <c r="K1362" i="2"/>
  <c r="H1362" i="2"/>
  <c r="G1362" i="2"/>
  <c r="F1362" i="2"/>
  <c r="D1362" i="2"/>
  <c r="C1362" i="2"/>
  <c r="B1362" i="2"/>
  <c r="K1361" i="2"/>
  <c r="H1361" i="2"/>
  <c r="G1361" i="2"/>
  <c r="F1361" i="2"/>
  <c r="D1361" i="2"/>
  <c r="C1361" i="2"/>
  <c r="B1361" i="2"/>
  <c r="C1360" i="2"/>
  <c r="B1360" i="2"/>
  <c r="K1355" i="2"/>
  <c r="H1355" i="2"/>
  <c r="G1355" i="2"/>
  <c r="F1355" i="2"/>
  <c r="D1355" i="2"/>
  <c r="C1355" i="2"/>
  <c r="B1355" i="2"/>
  <c r="K1354" i="2"/>
  <c r="H1354" i="2"/>
  <c r="G1354" i="2"/>
  <c r="F1354" i="2"/>
  <c r="D1354" i="2"/>
  <c r="C1354" i="2"/>
  <c r="B1354" i="2"/>
  <c r="K1353" i="2"/>
  <c r="H1353" i="2"/>
  <c r="G1353" i="2"/>
  <c r="F1353" i="2"/>
  <c r="D1353" i="2"/>
  <c r="C1353" i="2"/>
  <c r="B1353" i="2"/>
  <c r="K1352" i="2"/>
  <c r="H1352" i="2"/>
  <c r="G1352" i="2"/>
  <c r="F1352" i="2"/>
  <c r="D1352" i="2"/>
  <c r="C1352" i="2"/>
  <c r="B1352" i="2"/>
  <c r="K1351" i="2"/>
  <c r="H1351" i="2"/>
  <c r="G1351" i="2"/>
  <c r="F1351" i="2"/>
  <c r="D1351" i="2"/>
  <c r="C1351" i="2"/>
  <c r="B1351" i="2"/>
  <c r="K1350" i="2"/>
  <c r="H1350" i="2"/>
  <c r="G1350" i="2"/>
  <c r="F1350" i="2"/>
  <c r="D1350" i="2"/>
  <c r="C1350" i="2"/>
  <c r="B1350" i="2"/>
  <c r="K1349" i="2"/>
  <c r="H1349" i="2"/>
  <c r="G1349" i="2"/>
  <c r="F1349" i="2"/>
  <c r="D1349" i="2"/>
  <c r="C1349" i="2"/>
  <c r="B1349" i="2"/>
  <c r="K1348" i="2"/>
  <c r="H1348" i="2"/>
  <c r="G1348" i="2"/>
  <c r="F1348" i="2"/>
  <c r="D1348" i="2"/>
  <c r="C1348" i="2"/>
  <c r="B1348" i="2"/>
  <c r="K1347" i="2"/>
  <c r="H1347" i="2"/>
  <c r="G1347" i="2"/>
  <c r="F1347" i="2"/>
  <c r="D1347" i="2"/>
  <c r="C1347" i="2"/>
  <c r="B1347" i="2"/>
  <c r="K1346" i="2"/>
  <c r="H1346" i="2"/>
  <c r="G1346" i="2"/>
  <c r="F1346" i="2"/>
  <c r="D1346" i="2"/>
  <c r="C1346" i="2"/>
  <c r="B1346" i="2"/>
  <c r="C1345" i="2"/>
  <c r="K1341" i="2"/>
  <c r="H1341" i="2"/>
  <c r="G1341" i="2"/>
  <c r="F1341" i="2"/>
  <c r="D1341" i="2"/>
  <c r="C1341" i="2"/>
  <c r="B1341" i="2"/>
  <c r="K1340" i="2"/>
  <c r="H1340" i="2"/>
  <c r="G1340" i="2"/>
  <c r="F1340" i="2"/>
  <c r="D1340" i="2"/>
  <c r="C1340" i="2"/>
  <c r="B1340" i="2"/>
  <c r="K1339" i="2"/>
  <c r="H1339" i="2"/>
  <c r="G1339" i="2"/>
  <c r="F1339" i="2"/>
  <c r="D1339" i="2"/>
  <c r="C1339" i="2"/>
  <c r="B1339" i="2"/>
  <c r="K1338" i="2"/>
  <c r="H1338" i="2"/>
  <c r="G1338" i="2"/>
  <c r="F1338" i="2"/>
  <c r="D1338" i="2"/>
  <c r="C1338" i="2"/>
  <c r="B1338" i="2"/>
  <c r="K1337" i="2"/>
  <c r="H1337" i="2"/>
  <c r="G1337" i="2"/>
  <c r="F1337" i="2"/>
  <c r="D1337" i="2"/>
  <c r="C1337" i="2"/>
  <c r="B1337" i="2"/>
  <c r="K1336" i="2"/>
  <c r="H1336" i="2"/>
  <c r="G1336" i="2"/>
  <c r="F1336" i="2"/>
  <c r="D1336" i="2"/>
  <c r="C1336" i="2"/>
  <c r="B1336" i="2"/>
  <c r="K1335" i="2"/>
  <c r="H1335" i="2"/>
  <c r="G1335" i="2"/>
  <c r="F1335" i="2"/>
  <c r="D1335" i="2"/>
  <c r="C1335" i="2"/>
  <c r="B1335" i="2"/>
  <c r="K1334" i="2"/>
  <c r="H1334" i="2"/>
  <c r="G1334" i="2"/>
  <c r="F1334" i="2"/>
  <c r="D1334" i="2"/>
  <c r="C1334" i="2"/>
  <c r="B1334" i="2"/>
  <c r="K1333" i="2"/>
  <c r="H1333" i="2"/>
  <c r="G1333" i="2"/>
  <c r="F1333" i="2"/>
  <c r="D1333" i="2"/>
  <c r="C1333" i="2"/>
  <c r="B1333" i="2"/>
  <c r="K1332" i="2"/>
  <c r="H1332" i="2"/>
  <c r="G1332" i="2"/>
  <c r="F1332" i="2"/>
  <c r="D1332" i="2"/>
  <c r="C1332" i="2"/>
  <c r="B1332" i="2"/>
  <c r="K1331" i="2"/>
  <c r="H1331" i="2"/>
  <c r="G1331" i="2"/>
  <c r="F1331" i="2"/>
  <c r="D1331" i="2"/>
  <c r="C1331" i="2"/>
  <c r="B1331" i="2"/>
  <c r="K1330" i="2"/>
  <c r="H1330" i="2"/>
  <c r="G1330" i="2"/>
  <c r="F1330" i="2"/>
  <c r="D1330" i="2"/>
  <c r="C1330" i="2"/>
  <c r="B1330" i="2"/>
  <c r="K1329" i="2"/>
  <c r="H1329" i="2"/>
  <c r="G1329" i="2"/>
  <c r="F1329" i="2"/>
  <c r="D1329" i="2"/>
  <c r="C1329" i="2"/>
  <c r="B1329" i="2"/>
  <c r="K1328" i="2"/>
  <c r="H1328" i="2"/>
  <c r="G1328" i="2"/>
  <c r="F1328" i="2"/>
  <c r="D1328" i="2"/>
  <c r="C1328" i="2"/>
  <c r="B1328" i="2"/>
  <c r="K1327" i="2"/>
  <c r="H1327" i="2"/>
  <c r="G1327" i="2"/>
  <c r="F1327" i="2"/>
  <c r="D1327" i="2"/>
  <c r="C1327" i="2"/>
  <c r="B1327" i="2"/>
  <c r="K1326" i="2"/>
  <c r="K1342" i="2" s="1"/>
  <c r="H1326" i="2"/>
  <c r="G1326" i="2"/>
  <c r="G1342" i="2" s="1"/>
  <c r="F1326" i="2"/>
  <c r="D1326" i="2"/>
  <c r="D1342" i="2" s="1"/>
  <c r="C1326" i="2"/>
  <c r="B1326" i="2"/>
  <c r="K1322" i="2"/>
  <c r="H1322" i="2"/>
  <c r="G1322" i="2"/>
  <c r="F1322" i="2"/>
  <c r="D1322" i="2"/>
  <c r="C1322" i="2"/>
  <c r="B1322" i="2"/>
  <c r="K1321" i="2"/>
  <c r="H1321" i="2"/>
  <c r="G1321" i="2"/>
  <c r="F1321" i="2"/>
  <c r="D1321" i="2"/>
  <c r="C1321" i="2"/>
  <c r="B1321" i="2"/>
  <c r="K1320" i="2"/>
  <c r="H1320" i="2"/>
  <c r="G1320" i="2"/>
  <c r="F1320" i="2"/>
  <c r="D1320" i="2"/>
  <c r="C1320" i="2"/>
  <c r="B1320" i="2"/>
  <c r="K1319" i="2"/>
  <c r="K1323" i="2" s="1"/>
  <c r="K64" i="14" s="1"/>
  <c r="H1319" i="2"/>
  <c r="G1319" i="2"/>
  <c r="G1323" i="2" s="1"/>
  <c r="G64" i="14" s="1"/>
  <c r="F1319" i="2"/>
  <c r="D1319" i="2"/>
  <c r="D1323" i="2" s="1"/>
  <c r="D64" i="14" s="1"/>
  <c r="C1319" i="2"/>
  <c r="B1319" i="2"/>
  <c r="K1315" i="2"/>
  <c r="H1315" i="2"/>
  <c r="G1315" i="2"/>
  <c r="F1315" i="2"/>
  <c r="D1315" i="2"/>
  <c r="C1315" i="2"/>
  <c r="B1315" i="2"/>
  <c r="K1314" i="2"/>
  <c r="K1360" i="2" s="1"/>
  <c r="H1314" i="2"/>
  <c r="H1360" i="2" s="1"/>
  <c r="G1314" i="2"/>
  <c r="G1360" i="2" s="1"/>
  <c r="F1314" i="2"/>
  <c r="F1360" i="2" s="1"/>
  <c r="D1314" i="2"/>
  <c r="D1360" i="2" s="1"/>
  <c r="C1314" i="2"/>
  <c r="B1314" i="2"/>
  <c r="K1313" i="2"/>
  <c r="H1313" i="2"/>
  <c r="G1313" i="2"/>
  <c r="F1313" i="2"/>
  <c r="D1313" i="2"/>
  <c r="C1313" i="2"/>
  <c r="B1313" i="2"/>
  <c r="K1312" i="2"/>
  <c r="H1312" i="2"/>
  <c r="G1312" i="2"/>
  <c r="F1312" i="2"/>
  <c r="D1312" i="2"/>
  <c r="C1312" i="2"/>
  <c r="B1312" i="2"/>
  <c r="K1311" i="2"/>
  <c r="H1311" i="2"/>
  <c r="G1311" i="2"/>
  <c r="F1311" i="2"/>
  <c r="D1311" i="2"/>
  <c r="C1311" i="2"/>
  <c r="B1311" i="2"/>
  <c r="K1310" i="2"/>
  <c r="H1310" i="2"/>
  <c r="G1310" i="2"/>
  <c r="F1310" i="2"/>
  <c r="D1310" i="2"/>
  <c r="C1310" i="2"/>
  <c r="B1310" i="2"/>
  <c r="K1309" i="2"/>
  <c r="H1309" i="2"/>
  <c r="G1309" i="2"/>
  <c r="F1309" i="2"/>
  <c r="D1309" i="2"/>
  <c r="C1309" i="2"/>
  <c r="B1309" i="2"/>
  <c r="K1308" i="2"/>
  <c r="H1308" i="2"/>
  <c r="G1308" i="2"/>
  <c r="F1308" i="2"/>
  <c r="D1308" i="2"/>
  <c r="C1308" i="2"/>
  <c r="B1308" i="2"/>
  <c r="K1307" i="2"/>
  <c r="H1307" i="2"/>
  <c r="G1307" i="2"/>
  <c r="F1307" i="2"/>
  <c r="D1307" i="2"/>
  <c r="C1307" i="2"/>
  <c r="B1307" i="2"/>
  <c r="K1306" i="2"/>
  <c r="H1306" i="2"/>
  <c r="G1306" i="2"/>
  <c r="F1306" i="2"/>
  <c r="D1306" i="2"/>
  <c r="C1306" i="2"/>
  <c r="B1306" i="2"/>
  <c r="K1305" i="2"/>
  <c r="H1305" i="2"/>
  <c r="G1305" i="2"/>
  <c r="F1305" i="2"/>
  <c r="D1305" i="2"/>
  <c r="C1305" i="2"/>
  <c r="B1305" i="2"/>
  <c r="K1304" i="2"/>
  <c r="H1304" i="2"/>
  <c r="G1304" i="2"/>
  <c r="F1304" i="2"/>
  <c r="D1304" i="2"/>
  <c r="C1304" i="2"/>
  <c r="B1304" i="2"/>
  <c r="K1303" i="2"/>
  <c r="H1303" i="2"/>
  <c r="G1303" i="2"/>
  <c r="F1303" i="2"/>
  <c r="D1303" i="2"/>
  <c r="C1303" i="2"/>
  <c r="B1303" i="2"/>
  <c r="K1302" i="2"/>
  <c r="H1302" i="2"/>
  <c r="G1302" i="2"/>
  <c r="F1302" i="2"/>
  <c r="D1302" i="2"/>
  <c r="C1302" i="2"/>
  <c r="B1302" i="2"/>
  <c r="K1301" i="2"/>
  <c r="H1301" i="2"/>
  <c r="G1301" i="2"/>
  <c r="F1301" i="2"/>
  <c r="D1301" i="2"/>
  <c r="C1301" i="2"/>
  <c r="B1301" i="2"/>
  <c r="K1300" i="2"/>
  <c r="H1300" i="2"/>
  <c r="G1300" i="2"/>
  <c r="F1300" i="2"/>
  <c r="D1300" i="2"/>
  <c r="C1300" i="2"/>
  <c r="B1300" i="2"/>
  <c r="K1299" i="2"/>
  <c r="H1299" i="2"/>
  <c r="G1299" i="2"/>
  <c r="F1299" i="2"/>
  <c r="D1299" i="2"/>
  <c r="C1299" i="2"/>
  <c r="B1299" i="2"/>
  <c r="K1298" i="2"/>
  <c r="H1298" i="2"/>
  <c r="G1298" i="2"/>
  <c r="F1298" i="2"/>
  <c r="D1298" i="2"/>
  <c r="C1298" i="2"/>
  <c r="B1298" i="2"/>
  <c r="K1297" i="2"/>
  <c r="H1297" i="2"/>
  <c r="G1297" i="2"/>
  <c r="F1297" i="2"/>
  <c r="D1297" i="2"/>
  <c r="C1297" i="2"/>
  <c r="B1297" i="2"/>
  <c r="K1296" i="2"/>
  <c r="H1296" i="2"/>
  <c r="G1296" i="2"/>
  <c r="F1296" i="2"/>
  <c r="D1296" i="2"/>
  <c r="C1296" i="2"/>
  <c r="B1296" i="2"/>
  <c r="K1295" i="2"/>
  <c r="H1295" i="2"/>
  <c r="G1295" i="2"/>
  <c r="F1295" i="2"/>
  <c r="D1295" i="2"/>
  <c r="C1295" i="2"/>
  <c r="B1295" i="2"/>
  <c r="K1294" i="2"/>
  <c r="H1294" i="2"/>
  <c r="G1294" i="2"/>
  <c r="F1294" i="2"/>
  <c r="D1294" i="2"/>
  <c r="C1294" i="2"/>
  <c r="B1294" i="2"/>
  <c r="K1293" i="2"/>
  <c r="H1293" i="2"/>
  <c r="G1293" i="2"/>
  <c r="F1293" i="2"/>
  <c r="D1293" i="2"/>
  <c r="C1293" i="2"/>
  <c r="B1293" i="2"/>
  <c r="K1292" i="2"/>
  <c r="H1292" i="2"/>
  <c r="G1292" i="2"/>
  <c r="F1292" i="2"/>
  <c r="D1292" i="2"/>
  <c r="C1292" i="2"/>
  <c r="B1292" i="2"/>
  <c r="K1291" i="2"/>
  <c r="H1291" i="2"/>
  <c r="G1291" i="2"/>
  <c r="F1291" i="2"/>
  <c r="D1291" i="2"/>
  <c r="C1291" i="2"/>
  <c r="B1291" i="2"/>
  <c r="K1290" i="2"/>
  <c r="H1290" i="2"/>
  <c r="G1290" i="2"/>
  <c r="F1290" i="2"/>
  <c r="D1290" i="2"/>
  <c r="C1290" i="2"/>
  <c r="B1290" i="2"/>
  <c r="K1289" i="2"/>
  <c r="H1289" i="2"/>
  <c r="G1289" i="2"/>
  <c r="F1289" i="2"/>
  <c r="D1289" i="2"/>
  <c r="C1289" i="2"/>
  <c r="B1289" i="2"/>
  <c r="K1288" i="2"/>
  <c r="H1288" i="2"/>
  <c r="G1288" i="2"/>
  <c r="F1288" i="2"/>
  <c r="D1288" i="2"/>
  <c r="C1288" i="2"/>
  <c r="B1288" i="2"/>
  <c r="K1287" i="2"/>
  <c r="H1287" i="2"/>
  <c r="G1287" i="2"/>
  <c r="F1287" i="2"/>
  <c r="D1287" i="2"/>
  <c r="C1287" i="2"/>
  <c r="B1287" i="2"/>
  <c r="K1286" i="2"/>
  <c r="H1286" i="2"/>
  <c r="G1286" i="2"/>
  <c r="F1286" i="2"/>
  <c r="D1286" i="2"/>
  <c r="C1286" i="2"/>
  <c r="B1286" i="2"/>
  <c r="K1285" i="2"/>
  <c r="H1285" i="2"/>
  <c r="G1285" i="2"/>
  <c r="F1285" i="2"/>
  <c r="D1285" i="2"/>
  <c r="C1285" i="2"/>
  <c r="B1285" i="2"/>
  <c r="K1284" i="2"/>
  <c r="H1284" i="2"/>
  <c r="G1284" i="2"/>
  <c r="F1284" i="2"/>
  <c r="D1284" i="2"/>
  <c r="C1284" i="2"/>
  <c r="B1284" i="2"/>
  <c r="K1283" i="2"/>
  <c r="H1283" i="2"/>
  <c r="G1283" i="2"/>
  <c r="F1283" i="2"/>
  <c r="D1283" i="2"/>
  <c r="C1283" i="2"/>
  <c r="B1283" i="2"/>
  <c r="K1282" i="2"/>
  <c r="H1282" i="2"/>
  <c r="G1282" i="2"/>
  <c r="F1282" i="2"/>
  <c r="D1282" i="2"/>
  <c r="C1282" i="2"/>
  <c r="B1282" i="2"/>
  <c r="K1281" i="2"/>
  <c r="H1281" i="2"/>
  <c r="G1281" i="2"/>
  <c r="F1281" i="2"/>
  <c r="D1281" i="2"/>
  <c r="C1281" i="2"/>
  <c r="B1281" i="2"/>
  <c r="K1280" i="2"/>
  <c r="H1280" i="2"/>
  <c r="G1280" i="2"/>
  <c r="F1280" i="2"/>
  <c r="D1280" i="2"/>
  <c r="C1280" i="2"/>
  <c r="B1280" i="2"/>
  <c r="K1279" i="2"/>
  <c r="H1279" i="2"/>
  <c r="G1279" i="2"/>
  <c r="F1279" i="2"/>
  <c r="D1279" i="2"/>
  <c r="C1279" i="2"/>
  <c r="B1279" i="2"/>
  <c r="K1278" i="2"/>
  <c r="H1278" i="2"/>
  <c r="G1278" i="2"/>
  <c r="F1278" i="2"/>
  <c r="D1278" i="2"/>
  <c r="C1278" i="2"/>
  <c r="B1278" i="2"/>
  <c r="K1277" i="2"/>
  <c r="H1277" i="2"/>
  <c r="G1277" i="2"/>
  <c r="F1277" i="2"/>
  <c r="D1277" i="2"/>
  <c r="C1277" i="2"/>
  <c r="B1277" i="2"/>
  <c r="K1276" i="2"/>
  <c r="H1276" i="2"/>
  <c r="G1276" i="2"/>
  <c r="F1276" i="2"/>
  <c r="D1276" i="2"/>
  <c r="C1276" i="2"/>
  <c r="B1276" i="2"/>
  <c r="K1275" i="2"/>
  <c r="H1275" i="2"/>
  <c r="G1275" i="2"/>
  <c r="F1275" i="2"/>
  <c r="D1275" i="2"/>
  <c r="C1275" i="2"/>
  <c r="B1275" i="2"/>
  <c r="K1274" i="2"/>
  <c r="H1274" i="2"/>
  <c r="G1274" i="2"/>
  <c r="F1274" i="2"/>
  <c r="D1274" i="2"/>
  <c r="C1274" i="2"/>
  <c r="B1274" i="2"/>
  <c r="K1273" i="2"/>
  <c r="H1273" i="2"/>
  <c r="G1273" i="2"/>
  <c r="F1273" i="2"/>
  <c r="D1273" i="2"/>
  <c r="C1273" i="2"/>
  <c r="B1273" i="2"/>
  <c r="K1272" i="2"/>
  <c r="K1316" i="2" s="1"/>
  <c r="H1272" i="2"/>
  <c r="G1272" i="2"/>
  <c r="G1316" i="2" s="1"/>
  <c r="F1272" i="2"/>
  <c r="D1272" i="2"/>
  <c r="D1359" i="2" s="1"/>
  <c r="D1367" i="2" s="1"/>
  <c r="C1272" i="2"/>
  <c r="B1272" i="2"/>
  <c r="K1266" i="2"/>
  <c r="H1266" i="2"/>
  <c r="G1266" i="2"/>
  <c r="F1266" i="2"/>
  <c r="D1266" i="2"/>
  <c r="C1266" i="2"/>
  <c r="B1266" i="2"/>
  <c r="K1265" i="2"/>
  <c r="H1265" i="2"/>
  <c r="G1265" i="2"/>
  <c r="F1265" i="2"/>
  <c r="D1265" i="2"/>
  <c r="C1265" i="2"/>
  <c r="B1265" i="2"/>
  <c r="K1264" i="2"/>
  <c r="H1264" i="2"/>
  <c r="G1264" i="2"/>
  <c r="F1264" i="2"/>
  <c r="D1264" i="2"/>
  <c r="C1264" i="2"/>
  <c r="B1264" i="2"/>
  <c r="K1263" i="2"/>
  <c r="H1263" i="2"/>
  <c r="G1263" i="2"/>
  <c r="F1263" i="2"/>
  <c r="D1263" i="2"/>
  <c r="C1263" i="2"/>
  <c r="B1263" i="2"/>
  <c r="K1262" i="2"/>
  <c r="H1262" i="2"/>
  <c r="G1262" i="2"/>
  <c r="F1262" i="2"/>
  <c r="D1262" i="2"/>
  <c r="C1262" i="2"/>
  <c r="B1262" i="2"/>
  <c r="K1261" i="2"/>
  <c r="H1261" i="2"/>
  <c r="G1261" i="2"/>
  <c r="F1261" i="2"/>
  <c r="D1261" i="2"/>
  <c r="C1261" i="2"/>
  <c r="B1261" i="2"/>
  <c r="K1260" i="2"/>
  <c r="H1260" i="2"/>
  <c r="H1267" i="2" s="1"/>
  <c r="G1260" i="2"/>
  <c r="F1260" i="2"/>
  <c r="F1267" i="2" s="1"/>
  <c r="D1260" i="2"/>
  <c r="C1260" i="2"/>
  <c r="B1260" i="2"/>
  <c r="K1257" i="2"/>
  <c r="H1257" i="2"/>
  <c r="G1257" i="2"/>
  <c r="F1257" i="2"/>
  <c r="D1257" i="2"/>
  <c r="C1257" i="2"/>
  <c r="B1257" i="2"/>
  <c r="K1256" i="2"/>
  <c r="H1256" i="2"/>
  <c r="G1256" i="2"/>
  <c r="F1256" i="2"/>
  <c r="D1256" i="2"/>
  <c r="C1256" i="2"/>
  <c r="B1256" i="2"/>
  <c r="K1255" i="2"/>
  <c r="H1255" i="2"/>
  <c r="G1255" i="2"/>
  <c r="F1255" i="2"/>
  <c r="D1255" i="2"/>
  <c r="C1255" i="2"/>
  <c r="B1255" i="2"/>
  <c r="K1254" i="2"/>
  <c r="H1254" i="2"/>
  <c r="G1254" i="2"/>
  <c r="F1254" i="2"/>
  <c r="D1254" i="2"/>
  <c r="C1254" i="2"/>
  <c r="B1254" i="2"/>
  <c r="K1253" i="2"/>
  <c r="H1253" i="2"/>
  <c r="G1253" i="2"/>
  <c r="F1253" i="2"/>
  <c r="D1253" i="2"/>
  <c r="C1253" i="2"/>
  <c r="B1253" i="2"/>
  <c r="K1252" i="2"/>
  <c r="H1252" i="2"/>
  <c r="G1252" i="2"/>
  <c r="F1252" i="2"/>
  <c r="D1252" i="2"/>
  <c r="C1252" i="2"/>
  <c r="B1252" i="2"/>
  <c r="K1251" i="2"/>
  <c r="H1251" i="2"/>
  <c r="G1251" i="2"/>
  <c r="F1251" i="2"/>
  <c r="D1251" i="2"/>
  <c r="C1251" i="2"/>
  <c r="B1251" i="2"/>
  <c r="K1250" i="2"/>
  <c r="H1250" i="2"/>
  <c r="G1250" i="2"/>
  <c r="F1250" i="2"/>
  <c r="D1250" i="2"/>
  <c r="C1250" i="2"/>
  <c r="B1250" i="2"/>
  <c r="K1249" i="2"/>
  <c r="H1249" i="2"/>
  <c r="G1249" i="2"/>
  <c r="F1249" i="2"/>
  <c r="D1249" i="2"/>
  <c r="C1249" i="2"/>
  <c r="B1249" i="2"/>
  <c r="K1248" i="2"/>
  <c r="H1248" i="2"/>
  <c r="G1248" i="2"/>
  <c r="F1248" i="2"/>
  <c r="D1248" i="2"/>
  <c r="C1248" i="2"/>
  <c r="B1248" i="2"/>
  <c r="K1247" i="2"/>
  <c r="H1247" i="2"/>
  <c r="G1247" i="2"/>
  <c r="F1247" i="2"/>
  <c r="D1247" i="2"/>
  <c r="C1247" i="2"/>
  <c r="B1247" i="2"/>
  <c r="K1246" i="2"/>
  <c r="H1246" i="2"/>
  <c r="G1246" i="2"/>
  <c r="F1246" i="2"/>
  <c r="D1246" i="2"/>
  <c r="C1246" i="2"/>
  <c r="B1246" i="2"/>
  <c r="K1245" i="2"/>
  <c r="H1245" i="2"/>
  <c r="G1245" i="2"/>
  <c r="F1245" i="2"/>
  <c r="D1245" i="2"/>
  <c r="C1245" i="2"/>
  <c r="B1245" i="2"/>
  <c r="K1244" i="2"/>
  <c r="H1244" i="2"/>
  <c r="G1244" i="2"/>
  <c r="F1244" i="2"/>
  <c r="D1244" i="2"/>
  <c r="C1244" i="2"/>
  <c r="B1244" i="2"/>
  <c r="K1243" i="2"/>
  <c r="H1243" i="2"/>
  <c r="G1243" i="2"/>
  <c r="F1243" i="2"/>
  <c r="D1243" i="2"/>
  <c r="C1243" i="2"/>
  <c r="B1243" i="2"/>
  <c r="K1242" i="2"/>
  <c r="H1242" i="2"/>
  <c r="G1242" i="2"/>
  <c r="F1242" i="2"/>
  <c r="D1242" i="2"/>
  <c r="C1242" i="2"/>
  <c r="B1242" i="2"/>
  <c r="K1241" i="2"/>
  <c r="K1258" i="2" s="1"/>
  <c r="H1241" i="2"/>
  <c r="G1241" i="2"/>
  <c r="G1258" i="2" s="1"/>
  <c r="F1241" i="2"/>
  <c r="D1241" i="2"/>
  <c r="D1258" i="2" s="1"/>
  <c r="C1241" i="2"/>
  <c r="B1241" i="2"/>
  <c r="K1236" i="2"/>
  <c r="H1236" i="2"/>
  <c r="G1236" i="2"/>
  <c r="F1236" i="2"/>
  <c r="D1236" i="2"/>
  <c r="C1236" i="2"/>
  <c r="B1236" i="2"/>
  <c r="K1235" i="2"/>
  <c r="H1235" i="2"/>
  <c r="G1235" i="2"/>
  <c r="F1235" i="2"/>
  <c r="D1235" i="2"/>
  <c r="C1235" i="2"/>
  <c r="B1235" i="2"/>
  <c r="K1234" i="2"/>
  <c r="H1234" i="2"/>
  <c r="G1234" i="2"/>
  <c r="F1234" i="2"/>
  <c r="D1234" i="2"/>
  <c r="C1234" i="2"/>
  <c r="B1234" i="2"/>
  <c r="K1233" i="2"/>
  <c r="H1233" i="2"/>
  <c r="G1233" i="2"/>
  <c r="F1233" i="2"/>
  <c r="D1233" i="2"/>
  <c r="C1233" i="2"/>
  <c r="B1233" i="2"/>
  <c r="K1232" i="2"/>
  <c r="H1232" i="2"/>
  <c r="G1232" i="2"/>
  <c r="F1232" i="2"/>
  <c r="D1232" i="2"/>
  <c r="C1232" i="2"/>
  <c r="B1232" i="2"/>
  <c r="K1231" i="2"/>
  <c r="H1231" i="2"/>
  <c r="G1231" i="2"/>
  <c r="F1231" i="2"/>
  <c r="D1231" i="2"/>
  <c r="C1231" i="2"/>
  <c r="B1231" i="2"/>
  <c r="K1230" i="2"/>
  <c r="H1230" i="2"/>
  <c r="G1230" i="2"/>
  <c r="F1230" i="2"/>
  <c r="D1230" i="2"/>
  <c r="C1230" i="2"/>
  <c r="B1230" i="2"/>
  <c r="K1229" i="2"/>
  <c r="H1229" i="2"/>
  <c r="G1229" i="2"/>
  <c r="F1229" i="2"/>
  <c r="D1229" i="2"/>
  <c r="C1229" i="2"/>
  <c r="B1229" i="2"/>
  <c r="K1228" i="2"/>
  <c r="H1228" i="2"/>
  <c r="G1228" i="2"/>
  <c r="F1228" i="2"/>
  <c r="D1228" i="2"/>
  <c r="C1228" i="2"/>
  <c r="B1228" i="2"/>
  <c r="K1227" i="2"/>
  <c r="H1227" i="2"/>
  <c r="G1227" i="2"/>
  <c r="F1227" i="2"/>
  <c r="D1227" i="2"/>
  <c r="C1227" i="2"/>
  <c r="B1227" i="2"/>
  <c r="K1226" i="2"/>
  <c r="H1226" i="2"/>
  <c r="G1226" i="2"/>
  <c r="F1226" i="2"/>
  <c r="D1226" i="2"/>
  <c r="C1226" i="2"/>
  <c r="B1226" i="2"/>
  <c r="K1225" i="2"/>
  <c r="H1225" i="2"/>
  <c r="G1225" i="2"/>
  <c r="F1225" i="2"/>
  <c r="D1225" i="2"/>
  <c r="C1225" i="2"/>
  <c r="B1225" i="2"/>
  <c r="K1224" i="2"/>
  <c r="H1224" i="2"/>
  <c r="G1224" i="2"/>
  <c r="F1224" i="2"/>
  <c r="D1224" i="2"/>
  <c r="C1224" i="2"/>
  <c r="B1224" i="2"/>
  <c r="K1223" i="2"/>
  <c r="H1223" i="2"/>
  <c r="G1223" i="2"/>
  <c r="F1223" i="2"/>
  <c r="D1223" i="2"/>
  <c r="C1223" i="2"/>
  <c r="B1223" i="2"/>
  <c r="K1222" i="2"/>
  <c r="H1222" i="2"/>
  <c r="G1222" i="2"/>
  <c r="F1222" i="2"/>
  <c r="D1222" i="2"/>
  <c r="K1221" i="2"/>
  <c r="H1221" i="2"/>
  <c r="G1221" i="2"/>
  <c r="F1221" i="2"/>
  <c r="D1221" i="2"/>
  <c r="C1221" i="2"/>
  <c r="B1221" i="2"/>
  <c r="K1220" i="2"/>
  <c r="H1220" i="2"/>
  <c r="G1220" i="2"/>
  <c r="F1220" i="2"/>
  <c r="D1220" i="2"/>
  <c r="C1220" i="2"/>
  <c r="B1220" i="2"/>
  <c r="K1219" i="2"/>
  <c r="K1237" i="2" s="1"/>
  <c r="H1219" i="2"/>
  <c r="G1219" i="2"/>
  <c r="G1237" i="2" s="1"/>
  <c r="F1219" i="2"/>
  <c r="D1219" i="2"/>
  <c r="D1237" i="2" s="1"/>
  <c r="C1219" i="2"/>
  <c r="B1219" i="2"/>
  <c r="K1215" i="2"/>
  <c r="H1215" i="2"/>
  <c r="G1215" i="2"/>
  <c r="F1215" i="2"/>
  <c r="D1215" i="2"/>
  <c r="K1214" i="2"/>
  <c r="K1216" i="2" s="1"/>
  <c r="H1214" i="2"/>
  <c r="G1214" i="2"/>
  <c r="G1216" i="2" s="1"/>
  <c r="F1214" i="2"/>
  <c r="D1214" i="2"/>
  <c r="D1216" i="2" s="1"/>
  <c r="K1210" i="2"/>
  <c r="H1210" i="2"/>
  <c r="G1210" i="2"/>
  <c r="F1210" i="2"/>
  <c r="D1210" i="2"/>
  <c r="C1210" i="2"/>
  <c r="B1210" i="2"/>
  <c r="K1209" i="2"/>
  <c r="H1209" i="2"/>
  <c r="G1209" i="2"/>
  <c r="F1209" i="2"/>
  <c r="D1209" i="2"/>
  <c r="C1209" i="2"/>
  <c r="B1209" i="2"/>
  <c r="K1208" i="2"/>
  <c r="H1208" i="2"/>
  <c r="G1208" i="2"/>
  <c r="F1208" i="2"/>
  <c r="D1208" i="2"/>
  <c r="C1208" i="2"/>
  <c r="B1208" i="2"/>
  <c r="K1207" i="2"/>
  <c r="H1207" i="2"/>
  <c r="G1207" i="2"/>
  <c r="F1207" i="2"/>
  <c r="D1207" i="2"/>
  <c r="C1207" i="2"/>
  <c r="B1207" i="2"/>
  <c r="K1206" i="2"/>
  <c r="H1206" i="2"/>
  <c r="H1211" i="2" s="1"/>
  <c r="G1206" i="2"/>
  <c r="F1206" i="2"/>
  <c r="F1211" i="2" s="1"/>
  <c r="D1206" i="2"/>
  <c r="C1206" i="2"/>
  <c r="B1206" i="2"/>
  <c r="K1202" i="2"/>
  <c r="H1202" i="2"/>
  <c r="G1202" i="2"/>
  <c r="F1202" i="2"/>
  <c r="D1202" i="2"/>
  <c r="C1202" i="2"/>
  <c r="B1202" i="2"/>
  <c r="K1201" i="2"/>
  <c r="H1201" i="2"/>
  <c r="G1201" i="2"/>
  <c r="F1201" i="2"/>
  <c r="D1201" i="2"/>
  <c r="C1201" i="2"/>
  <c r="B1201" i="2"/>
  <c r="K1200" i="2"/>
  <c r="H1200" i="2"/>
  <c r="G1200" i="2"/>
  <c r="F1200" i="2"/>
  <c r="D1200" i="2"/>
  <c r="C1200" i="2"/>
  <c r="B1200" i="2"/>
  <c r="K1199" i="2"/>
  <c r="H1199" i="2"/>
  <c r="G1199" i="2"/>
  <c r="F1199" i="2"/>
  <c r="D1199" i="2"/>
  <c r="C1199" i="2"/>
  <c r="B1199" i="2"/>
  <c r="K1198" i="2"/>
  <c r="H1198" i="2"/>
  <c r="G1198" i="2"/>
  <c r="F1198" i="2"/>
  <c r="D1198" i="2"/>
  <c r="C1198" i="2"/>
  <c r="B1198" i="2"/>
  <c r="K1197" i="2"/>
  <c r="H1197" i="2"/>
  <c r="G1197" i="2"/>
  <c r="F1197" i="2"/>
  <c r="D1197" i="2"/>
  <c r="C1197" i="2"/>
  <c r="B1197" i="2"/>
  <c r="K1196" i="2"/>
  <c r="H1196" i="2"/>
  <c r="G1196" i="2"/>
  <c r="F1196" i="2"/>
  <c r="D1196" i="2"/>
  <c r="C1196" i="2"/>
  <c r="B1196" i="2"/>
  <c r="K1195" i="2"/>
  <c r="H1195" i="2"/>
  <c r="G1195" i="2"/>
  <c r="F1195" i="2"/>
  <c r="D1195" i="2"/>
  <c r="C1195" i="2"/>
  <c r="B1195" i="2"/>
  <c r="K1194" i="2"/>
  <c r="H1194" i="2"/>
  <c r="G1194" i="2"/>
  <c r="F1194" i="2"/>
  <c r="D1194" i="2"/>
  <c r="C1194" i="2"/>
  <c r="B1194" i="2"/>
  <c r="K1193" i="2"/>
  <c r="H1193" i="2"/>
  <c r="G1193" i="2"/>
  <c r="F1193" i="2"/>
  <c r="D1193" i="2"/>
  <c r="C1193" i="2"/>
  <c r="B1193" i="2"/>
  <c r="K1192" i="2"/>
  <c r="H1192" i="2"/>
  <c r="G1192" i="2"/>
  <c r="F1192" i="2"/>
  <c r="D1192" i="2"/>
  <c r="C1192" i="2"/>
  <c r="B1192" i="2"/>
  <c r="K1191" i="2"/>
  <c r="H1191" i="2"/>
  <c r="G1191" i="2"/>
  <c r="F1191" i="2"/>
  <c r="D1191" i="2"/>
  <c r="C1191" i="2"/>
  <c r="B1191" i="2"/>
  <c r="K1190" i="2"/>
  <c r="H1190" i="2"/>
  <c r="G1190" i="2"/>
  <c r="F1190" i="2"/>
  <c r="D1190" i="2"/>
  <c r="C1190" i="2"/>
  <c r="B1190" i="2"/>
  <c r="K1189" i="2"/>
  <c r="H1189" i="2"/>
  <c r="G1189" i="2"/>
  <c r="F1189" i="2"/>
  <c r="D1189" i="2"/>
  <c r="C1189" i="2"/>
  <c r="B1189" i="2"/>
  <c r="K1188" i="2"/>
  <c r="H1188" i="2"/>
  <c r="G1188" i="2"/>
  <c r="F1188" i="2"/>
  <c r="D1188" i="2"/>
  <c r="C1188" i="2"/>
  <c r="B1188" i="2"/>
  <c r="K1187" i="2"/>
  <c r="H1187" i="2"/>
  <c r="G1187" i="2"/>
  <c r="F1187" i="2"/>
  <c r="D1187" i="2"/>
  <c r="C1187" i="2"/>
  <c r="B1187" i="2"/>
  <c r="K1186" i="2"/>
  <c r="H1186" i="2"/>
  <c r="G1186" i="2"/>
  <c r="F1186" i="2"/>
  <c r="D1186" i="2"/>
  <c r="C1186" i="2"/>
  <c r="B1186" i="2"/>
  <c r="K1185" i="2"/>
  <c r="H1185" i="2"/>
  <c r="H1203" i="2" s="1"/>
  <c r="G1185" i="2"/>
  <c r="F1185" i="2"/>
  <c r="F1203" i="2" s="1"/>
  <c r="D1185" i="2"/>
  <c r="C1185" i="2"/>
  <c r="B1185" i="2"/>
  <c r="K1176" i="2"/>
  <c r="H1176" i="2"/>
  <c r="G1176" i="2"/>
  <c r="F1176" i="2"/>
  <c r="D1176" i="2"/>
  <c r="C1176" i="2"/>
  <c r="B1176" i="2"/>
  <c r="K1175" i="2"/>
  <c r="H1175" i="2"/>
  <c r="H1177" i="2" s="1"/>
  <c r="G1175" i="2"/>
  <c r="F1175" i="2"/>
  <c r="F1177" i="2" s="1"/>
  <c r="D1175" i="2"/>
  <c r="C1175" i="2"/>
  <c r="B1175" i="2"/>
  <c r="K1168" i="2"/>
  <c r="H1168" i="2"/>
  <c r="G1168" i="2"/>
  <c r="F1168" i="2"/>
  <c r="D1168" i="2"/>
  <c r="C1168" i="2"/>
  <c r="B1168" i="2"/>
  <c r="K1167" i="2"/>
  <c r="H1167" i="2"/>
  <c r="G1167" i="2"/>
  <c r="F1167" i="2"/>
  <c r="D1167" i="2"/>
  <c r="C1167" i="2"/>
  <c r="B1167" i="2"/>
  <c r="K1166" i="2"/>
  <c r="H1166" i="2"/>
  <c r="G1166" i="2"/>
  <c r="F1166" i="2"/>
  <c r="D1166" i="2"/>
  <c r="C1166" i="2"/>
  <c r="B1166" i="2"/>
  <c r="K1165" i="2"/>
  <c r="H1165" i="2"/>
  <c r="H1169" i="2" s="1"/>
  <c r="G1165" i="2"/>
  <c r="F1165" i="2"/>
  <c r="F1169" i="2" s="1"/>
  <c r="D1165" i="2"/>
  <c r="C1165" i="2"/>
  <c r="B1165" i="2"/>
  <c r="K1161" i="2"/>
  <c r="H1161" i="2"/>
  <c r="G1161" i="2"/>
  <c r="F1161" i="2"/>
  <c r="D1161" i="2"/>
  <c r="C1161" i="2"/>
  <c r="B1161" i="2"/>
  <c r="K1160" i="2"/>
  <c r="H1160" i="2"/>
  <c r="G1160" i="2"/>
  <c r="F1160" i="2"/>
  <c r="D1160" i="2"/>
  <c r="C1160" i="2"/>
  <c r="B1160" i="2"/>
  <c r="K1159" i="2"/>
  <c r="H1159" i="2"/>
  <c r="G1159" i="2"/>
  <c r="F1159" i="2"/>
  <c r="D1159" i="2"/>
  <c r="C1159" i="2"/>
  <c r="B1159" i="2"/>
  <c r="K1158" i="2"/>
  <c r="H1158" i="2"/>
  <c r="G1158" i="2"/>
  <c r="F1158" i="2"/>
  <c r="D1158" i="2"/>
  <c r="C1158" i="2"/>
  <c r="B1158" i="2"/>
  <c r="K1157" i="2"/>
  <c r="H1157" i="2"/>
  <c r="G1157" i="2"/>
  <c r="F1157" i="2"/>
  <c r="D1157" i="2"/>
  <c r="C1157" i="2"/>
  <c r="B1157" i="2"/>
  <c r="K1156" i="2"/>
  <c r="H1156" i="2"/>
  <c r="G1156" i="2"/>
  <c r="F1156" i="2"/>
  <c r="D1156" i="2"/>
  <c r="C1156" i="2"/>
  <c r="B1156" i="2"/>
  <c r="K1155" i="2"/>
  <c r="H1155" i="2"/>
  <c r="G1155" i="2"/>
  <c r="F1155" i="2"/>
  <c r="D1155" i="2"/>
  <c r="C1155" i="2"/>
  <c r="B1155" i="2"/>
  <c r="K1154" i="2"/>
  <c r="H1154" i="2"/>
  <c r="G1154" i="2"/>
  <c r="F1154" i="2"/>
  <c r="D1154" i="2"/>
  <c r="C1154" i="2"/>
  <c r="B1154" i="2"/>
  <c r="K1153" i="2"/>
  <c r="H1153" i="2"/>
  <c r="G1153" i="2"/>
  <c r="F1153" i="2"/>
  <c r="D1153" i="2"/>
  <c r="C1153" i="2"/>
  <c r="B1153" i="2"/>
  <c r="K1152" i="2"/>
  <c r="H1152" i="2"/>
  <c r="G1152" i="2"/>
  <c r="F1152" i="2"/>
  <c r="D1152" i="2"/>
  <c r="C1152" i="2"/>
  <c r="B1152" i="2"/>
  <c r="K1151" i="2"/>
  <c r="H1151" i="2"/>
  <c r="G1151" i="2"/>
  <c r="F1151" i="2"/>
  <c r="D1151" i="2"/>
  <c r="C1151" i="2"/>
  <c r="B1151" i="2"/>
  <c r="K1150" i="2"/>
  <c r="H1150" i="2"/>
  <c r="G1150" i="2"/>
  <c r="F1150" i="2"/>
  <c r="D1150" i="2"/>
  <c r="C1150" i="2"/>
  <c r="B1150" i="2"/>
  <c r="K1149" i="2"/>
  <c r="H1149" i="2"/>
  <c r="G1149" i="2"/>
  <c r="F1149" i="2"/>
  <c r="D1149" i="2"/>
  <c r="C1149" i="2"/>
  <c r="B1149" i="2"/>
  <c r="K1148" i="2"/>
  <c r="H1148" i="2"/>
  <c r="G1148" i="2"/>
  <c r="F1148" i="2"/>
  <c r="D1148" i="2"/>
  <c r="C1148" i="2"/>
  <c r="B1148" i="2"/>
  <c r="K1147" i="2"/>
  <c r="H1147" i="2"/>
  <c r="G1147" i="2"/>
  <c r="F1147" i="2"/>
  <c r="D1147" i="2"/>
  <c r="C1147" i="2"/>
  <c r="B1147" i="2"/>
  <c r="K1146" i="2"/>
  <c r="H1146" i="2"/>
  <c r="G1146" i="2"/>
  <c r="F1146" i="2"/>
  <c r="D1146" i="2"/>
  <c r="C1146" i="2"/>
  <c r="B1146" i="2"/>
  <c r="K1145" i="2"/>
  <c r="H1145" i="2"/>
  <c r="G1145" i="2"/>
  <c r="F1145" i="2"/>
  <c r="D1145" i="2"/>
  <c r="C1145" i="2"/>
  <c r="B1145" i="2"/>
  <c r="K1144" i="2"/>
  <c r="H1144" i="2"/>
  <c r="G1144" i="2"/>
  <c r="F1144" i="2"/>
  <c r="D1144" i="2"/>
  <c r="C1144" i="2"/>
  <c r="B1144" i="2"/>
  <c r="K1143" i="2"/>
  <c r="H1143" i="2"/>
  <c r="G1143" i="2"/>
  <c r="F1143" i="2"/>
  <c r="D1143" i="2"/>
  <c r="C1143" i="2"/>
  <c r="B1143" i="2"/>
  <c r="K1142" i="2"/>
  <c r="H1142" i="2"/>
  <c r="G1142" i="2"/>
  <c r="F1142" i="2"/>
  <c r="D1142" i="2"/>
  <c r="C1142" i="2"/>
  <c r="B1142" i="2"/>
  <c r="K1141" i="2"/>
  <c r="H1141" i="2"/>
  <c r="G1141" i="2"/>
  <c r="F1141" i="2"/>
  <c r="D1141" i="2"/>
  <c r="K1140" i="2"/>
  <c r="H1140" i="2"/>
  <c r="G1140" i="2"/>
  <c r="F1140" i="2"/>
  <c r="D1140" i="2"/>
  <c r="K1139" i="2"/>
  <c r="H1139" i="2"/>
  <c r="G1139" i="2"/>
  <c r="F1139" i="2"/>
  <c r="D1139" i="2"/>
  <c r="C1139" i="2"/>
  <c r="B1139" i="2"/>
  <c r="K1138" i="2"/>
  <c r="H1138" i="2"/>
  <c r="H1162" i="2" s="1"/>
  <c r="H1171" i="2" s="1"/>
  <c r="G1138" i="2"/>
  <c r="F1138" i="2"/>
  <c r="F1162" i="2" s="1"/>
  <c r="F1171" i="2" s="1"/>
  <c r="D1138" i="2"/>
  <c r="C1138" i="2"/>
  <c r="B1138" i="2"/>
  <c r="K1134" i="2"/>
  <c r="H1134" i="2"/>
  <c r="G1134" i="2"/>
  <c r="F1134" i="2"/>
  <c r="D1134" i="2"/>
  <c r="C1134" i="2"/>
  <c r="B1134" i="2"/>
  <c r="K1133" i="2"/>
  <c r="H1133" i="2"/>
  <c r="G1133" i="2"/>
  <c r="F1133" i="2"/>
  <c r="D1133" i="2"/>
  <c r="C1133" i="2"/>
  <c r="B1133" i="2"/>
  <c r="K1132" i="2"/>
  <c r="H1132" i="2"/>
  <c r="G1132" i="2"/>
  <c r="F1132" i="2"/>
  <c r="D1132" i="2"/>
  <c r="C1132" i="2"/>
  <c r="B1132" i="2"/>
  <c r="K1131" i="2"/>
  <c r="H1131" i="2"/>
  <c r="G1131" i="2"/>
  <c r="F1131" i="2"/>
  <c r="D1131" i="2"/>
  <c r="C1131" i="2"/>
  <c r="B1131" i="2"/>
  <c r="K1130" i="2"/>
  <c r="H1130" i="2"/>
  <c r="G1130" i="2"/>
  <c r="F1130" i="2"/>
  <c r="D1130" i="2"/>
  <c r="C1130" i="2"/>
  <c r="B1130" i="2"/>
  <c r="K1129" i="2"/>
  <c r="H1129" i="2"/>
  <c r="G1129" i="2"/>
  <c r="F1129" i="2"/>
  <c r="D1129" i="2"/>
  <c r="C1129" i="2"/>
  <c r="B1129" i="2"/>
  <c r="K1128" i="2"/>
  <c r="H1128" i="2"/>
  <c r="G1128" i="2"/>
  <c r="F1128" i="2"/>
  <c r="D1128" i="2"/>
  <c r="C1128" i="2"/>
  <c r="B1128" i="2"/>
  <c r="K1127" i="2"/>
  <c r="H1127" i="2"/>
  <c r="G1127" i="2"/>
  <c r="F1127" i="2"/>
  <c r="D1127" i="2"/>
  <c r="C1127" i="2"/>
  <c r="B1127" i="2"/>
  <c r="K1126" i="2"/>
  <c r="H1126" i="2"/>
  <c r="G1126" i="2"/>
  <c r="F1126" i="2"/>
  <c r="D1126" i="2"/>
  <c r="C1126" i="2"/>
  <c r="B1126" i="2"/>
  <c r="K1125" i="2"/>
  <c r="H1125" i="2"/>
  <c r="H1135" i="2" s="1"/>
  <c r="G1125" i="2"/>
  <c r="F1125" i="2"/>
  <c r="F1135" i="2" s="1"/>
  <c r="D1125" i="2"/>
  <c r="C1125" i="2"/>
  <c r="B1125" i="2"/>
  <c r="K1121" i="2"/>
  <c r="H1121" i="2"/>
  <c r="G1121" i="2"/>
  <c r="F1121" i="2"/>
  <c r="D1121" i="2"/>
  <c r="C1121" i="2"/>
  <c r="B1121" i="2"/>
  <c r="K1120" i="2"/>
  <c r="H1120" i="2"/>
  <c r="G1120" i="2"/>
  <c r="F1120" i="2"/>
  <c r="D1120" i="2"/>
  <c r="C1120" i="2"/>
  <c r="B1120" i="2"/>
  <c r="K1119" i="2"/>
  <c r="H1119" i="2"/>
  <c r="G1119" i="2"/>
  <c r="F1119" i="2"/>
  <c r="D1119" i="2"/>
  <c r="C1119" i="2"/>
  <c r="B1119" i="2"/>
  <c r="K1118" i="2"/>
  <c r="H1118" i="2"/>
  <c r="G1118" i="2"/>
  <c r="F1118" i="2"/>
  <c r="D1118" i="2"/>
  <c r="C1118" i="2"/>
  <c r="B1118" i="2"/>
  <c r="K1117" i="2"/>
  <c r="H1117" i="2"/>
  <c r="G1117" i="2"/>
  <c r="F1117" i="2"/>
  <c r="D1117" i="2"/>
  <c r="C1117" i="2"/>
  <c r="B1117" i="2"/>
  <c r="K1116" i="2"/>
  <c r="H1116" i="2"/>
  <c r="G1116" i="2"/>
  <c r="F1116" i="2"/>
  <c r="D1116" i="2"/>
  <c r="C1116" i="2"/>
  <c r="B1116" i="2"/>
  <c r="K1115" i="2"/>
  <c r="H1115" i="2"/>
  <c r="G1115" i="2"/>
  <c r="F1115" i="2"/>
  <c r="D1115" i="2"/>
  <c r="C1115" i="2"/>
  <c r="B1115" i="2"/>
  <c r="K1114" i="2"/>
  <c r="H1114" i="2"/>
  <c r="G1114" i="2"/>
  <c r="F1114" i="2"/>
  <c r="D1114" i="2"/>
  <c r="C1114" i="2"/>
  <c r="B1114" i="2"/>
  <c r="K1113" i="2"/>
  <c r="H1113" i="2"/>
  <c r="G1113" i="2"/>
  <c r="F1113" i="2"/>
  <c r="D1113" i="2"/>
  <c r="C1113" i="2"/>
  <c r="B1113" i="2"/>
  <c r="K1112" i="2"/>
  <c r="H1112" i="2"/>
  <c r="H1122" i="2" s="1"/>
  <c r="G1112" i="2"/>
  <c r="F1112" i="2"/>
  <c r="F1122" i="2" s="1"/>
  <c r="D1112" i="2"/>
  <c r="C1112" i="2"/>
  <c r="B1112" i="2"/>
  <c r="K1102" i="2"/>
  <c r="H1102" i="2"/>
  <c r="G1102" i="2"/>
  <c r="F1102" i="2"/>
  <c r="D1102" i="2"/>
  <c r="K1101" i="2"/>
  <c r="H1101" i="2"/>
  <c r="G1101" i="2"/>
  <c r="F1101" i="2"/>
  <c r="D1101" i="2"/>
  <c r="K1100" i="2"/>
  <c r="H1100" i="2"/>
  <c r="G1100" i="2"/>
  <c r="F1100" i="2"/>
  <c r="D1100" i="2"/>
  <c r="I1098" i="2"/>
  <c r="E1098" i="2"/>
  <c r="J1098" i="2" s="1"/>
  <c r="I1097" i="2"/>
  <c r="E1097" i="2"/>
  <c r="J1097" i="2" s="1"/>
  <c r="I1096" i="2"/>
  <c r="E1096" i="2"/>
  <c r="J1096" i="2" s="1"/>
  <c r="I1095" i="2"/>
  <c r="E1095" i="2"/>
  <c r="J1095" i="2" s="1"/>
  <c r="I1094" i="2"/>
  <c r="E1094" i="2"/>
  <c r="J1094" i="2" s="1"/>
  <c r="I1093" i="2"/>
  <c r="E1093" i="2"/>
  <c r="J1093" i="2" s="1"/>
  <c r="I1092" i="2"/>
  <c r="E1092" i="2"/>
  <c r="J1092" i="2" s="1"/>
  <c r="I1091" i="2"/>
  <c r="E1091" i="2"/>
  <c r="J1091" i="2" s="1"/>
  <c r="I1090" i="2"/>
  <c r="E1090" i="2"/>
  <c r="J1090" i="2" s="1"/>
  <c r="I1089" i="2"/>
  <c r="E1089" i="2"/>
  <c r="J1089" i="2" s="1"/>
  <c r="I1088" i="2"/>
  <c r="E1088" i="2"/>
  <c r="J1088" i="2" s="1"/>
  <c r="I1087" i="2"/>
  <c r="E1087" i="2"/>
  <c r="J1087" i="2" s="1"/>
  <c r="I1086" i="2"/>
  <c r="E1086" i="2"/>
  <c r="J1086" i="2" s="1"/>
  <c r="I1085" i="2"/>
  <c r="E1085" i="2"/>
  <c r="J1085" i="2" s="1"/>
  <c r="I1084" i="2"/>
  <c r="E1084" i="2"/>
  <c r="J1084" i="2" s="1"/>
  <c r="I1083" i="2"/>
  <c r="E1083" i="2"/>
  <c r="J1083" i="2" s="1"/>
  <c r="I1082" i="2"/>
  <c r="E1082" i="2"/>
  <c r="J1082" i="2" s="1"/>
  <c r="I1081" i="2"/>
  <c r="E1081" i="2"/>
  <c r="J1081" i="2" s="1"/>
  <c r="I1080" i="2"/>
  <c r="E1080" i="2"/>
  <c r="J1080" i="2" s="1"/>
  <c r="I1079" i="2"/>
  <c r="E1079" i="2"/>
  <c r="J1079" i="2" s="1"/>
  <c r="I1078" i="2"/>
  <c r="E1078" i="2"/>
  <c r="J1078" i="2" s="1"/>
  <c r="I1077" i="2"/>
  <c r="E1077" i="2"/>
  <c r="J1077" i="2" s="1"/>
  <c r="I1076" i="2"/>
  <c r="E1076" i="2"/>
  <c r="J1076" i="2" s="1"/>
  <c r="I1075" i="2"/>
  <c r="E1075" i="2"/>
  <c r="J1075" i="2" s="1"/>
  <c r="I1074" i="2"/>
  <c r="E1074" i="2"/>
  <c r="J1074" i="2" s="1"/>
  <c r="I1073" i="2"/>
  <c r="E1073" i="2"/>
  <c r="J1073" i="2" s="1"/>
  <c r="I1072" i="2"/>
  <c r="E1072" i="2"/>
  <c r="J1072" i="2" s="1"/>
  <c r="I1071" i="2"/>
  <c r="E1071" i="2"/>
  <c r="J1071" i="2" s="1"/>
  <c r="I1070" i="2"/>
  <c r="E1070" i="2"/>
  <c r="J1070" i="2" s="1"/>
  <c r="I1069" i="2"/>
  <c r="E1069" i="2"/>
  <c r="J1069" i="2" s="1"/>
  <c r="I1068" i="2"/>
  <c r="E1068" i="2"/>
  <c r="J1068" i="2" s="1"/>
  <c r="I1067" i="2"/>
  <c r="E1067" i="2"/>
  <c r="J1067" i="2" s="1"/>
  <c r="I1066" i="2"/>
  <c r="E1066" i="2"/>
  <c r="J1066" i="2" s="1"/>
  <c r="I1065" i="2"/>
  <c r="E1065" i="2"/>
  <c r="J1065" i="2" s="1"/>
  <c r="I1064" i="2"/>
  <c r="E1064" i="2"/>
  <c r="J1064" i="2" s="1"/>
  <c r="I1063" i="2"/>
  <c r="E1063" i="2"/>
  <c r="J1063" i="2" s="1"/>
  <c r="I1062" i="2"/>
  <c r="E1062" i="2"/>
  <c r="J1062" i="2" s="1"/>
  <c r="I1061" i="2"/>
  <c r="E1061" i="2"/>
  <c r="J1061" i="2" s="1"/>
  <c r="I1060" i="2"/>
  <c r="E1060" i="2"/>
  <c r="J1060" i="2" s="1"/>
  <c r="I1059" i="2"/>
  <c r="E1059" i="2"/>
  <c r="J1059" i="2" s="1"/>
  <c r="I1058" i="2"/>
  <c r="E1058" i="2"/>
  <c r="J1058" i="2" s="1"/>
  <c r="I1057" i="2"/>
  <c r="E1057" i="2"/>
  <c r="J1057" i="2" s="1"/>
  <c r="I1056" i="2"/>
  <c r="E1056" i="2"/>
  <c r="J1056" i="2" s="1"/>
  <c r="I1055" i="2"/>
  <c r="E1055" i="2"/>
  <c r="J1055" i="2" s="1"/>
  <c r="I1054" i="2"/>
  <c r="E1054" i="2"/>
  <c r="J1054" i="2" s="1"/>
  <c r="I1053" i="2"/>
  <c r="E1053" i="2"/>
  <c r="J1053" i="2" s="1"/>
  <c r="I1052" i="2"/>
  <c r="E1052" i="2"/>
  <c r="J1052" i="2" s="1"/>
  <c r="I1051" i="2"/>
  <c r="E1051" i="2"/>
  <c r="J1051" i="2" s="1"/>
  <c r="I1050" i="2"/>
  <c r="E1050" i="2"/>
  <c r="J1050" i="2" s="1"/>
  <c r="I1049" i="2"/>
  <c r="E1049" i="2"/>
  <c r="J1049" i="2" s="1"/>
  <c r="I1048" i="2"/>
  <c r="E1048" i="2"/>
  <c r="J1048" i="2" s="1"/>
  <c r="I1047" i="2"/>
  <c r="E1047" i="2"/>
  <c r="J1047" i="2" s="1"/>
  <c r="I1046" i="2"/>
  <c r="E1046" i="2"/>
  <c r="J1046" i="2" s="1"/>
  <c r="I1045" i="2"/>
  <c r="E1045" i="2"/>
  <c r="J1045" i="2" s="1"/>
  <c r="I1044" i="2"/>
  <c r="E1044" i="2"/>
  <c r="J1044" i="2" s="1"/>
  <c r="I1043" i="2"/>
  <c r="E1043" i="2"/>
  <c r="J1043" i="2" s="1"/>
  <c r="I1042" i="2"/>
  <c r="E1042" i="2"/>
  <c r="J1042" i="2" s="1"/>
  <c r="I1041" i="2"/>
  <c r="E1041" i="2"/>
  <c r="J1041" i="2" s="1"/>
  <c r="I1040" i="2"/>
  <c r="E1040" i="2"/>
  <c r="J1040" i="2" s="1"/>
  <c r="I1039" i="2"/>
  <c r="E1039" i="2"/>
  <c r="J1039" i="2" s="1"/>
  <c r="I1038" i="2"/>
  <c r="E1038" i="2"/>
  <c r="J1038" i="2" s="1"/>
  <c r="I1037" i="2"/>
  <c r="E1037" i="2"/>
  <c r="J1037" i="2" s="1"/>
  <c r="I1036" i="2"/>
  <c r="E1036" i="2"/>
  <c r="J1036" i="2" s="1"/>
  <c r="I1035" i="2"/>
  <c r="E1035" i="2"/>
  <c r="J1035" i="2" s="1"/>
  <c r="I1034" i="2"/>
  <c r="E1034" i="2"/>
  <c r="J1034" i="2" s="1"/>
  <c r="I1033" i="2"/>
  <c r="E1033" i="2"/>
  <c r="J1033" i="2" s="1"/>
  <c r="I1032" i="2"/>
  <c r="E1032" i="2"/>
  <c r="J1032" i="2" s="1"/>
  <c r="I1031" i="2"/>
  <c r="E1031" i="2"/>
  <c r="J1031" i="2" s="1"/>
  <c r="I1030" i="2"/>
  <c r="E1030" i="2"/>
  <c r="J1030" i="2" s="1"/>
  <c r="I1029" i="2"/>
  <c r="E1029" i="2"/>
  <c r="J1029" i="2" s="1"/>
  <c r="I1028" i="2"/>
  <c r="E1028" i="2"/>
  <c r="J1028" i="2" s="1"/>
  <c r="I1027" i="2"/>
  <c r="E1027" i="2"/>
  <c r="J1027" i="2" s="1"/>
  <c r="I1026" i="2"/>
  <c r="E1026" i="2"/>
  <c r="J1026" i="2" s="1"/>
  <c r="I1025" i="2"/>
  <c r="E1025" i="2"/>
  <c r="J1025" i="2" s="1"/>
  <c r="I1024" i="2"/>
  <c r="E1024" i="2"/>
  <c r="J1024" i="2" s="1"/>
  <c r="I1023" i="2"/>
  <c r="E1023" i="2"/>
  <c r="J1023" i="2" s="1"/>
  <c r="I1022" i="2"/>
  <c r="E1022" i="2"/>
  <c r="J1022" i="2" s="1"/>
  <c r="I1021" i="2"/>
  <c r="E1021" i="2"/>
  <c r="J1021" i="2" s="1"/>
  <c r="I1020" i="2"/>
  <c r="E1020" i="2"/>
  <c r="J1020" i="2" s="1"/>
  <c r="I1019" i="2"/>
  <c r="E1019" i="2"/>
  <c r="J1019" i="2" s="1"/>
  <c r="I1018" i="2"/>
  <c r="E1018" i="2"/>
  <c r="J1018" i="2" s="1"/>
  <c r="I1017" i="2"/>
  <c r="E1017" i="2"/>
  <c r="J1017" i="2" s="1"/>
  <c r="I1016" i="2"/>
  <c r="E1016" i="2"/>
  <c r="J1016" i="2" s="1"/>
  <c r="I1015" i="2"/>
  <c r="E1015" i="2"/>
  <c r="J1015" i="2" s="1"/>
  <c r="I1014" i="2"/>
  <c r="E1014" i="2"/>
  <c r="J1014" i="2" s="1"/>
  <c r="I1013" i="2"/>
  <c r="E1013" i="2"/>
  <c r="J1013" i="2" s="1"/>
  <c r="I1012" i="2"/>
  <c r="E1012" i="2"/>
  <c r="J1012" i="2" s="1"/>
  <c r="I1011" i="2"/>
  <c r="E1011" i="2"/>
  <c r="J1011" i="2" s="1"/>
  <c r="I1010" i="2"/>
  <c r="E1010" i="2"/>
  <c r="J1010" i="2" s="1"/>
  <c r="I1009" i="2"/>
  <c r="E1009" i="2"/>
  <c r="J1009" i="2" s="1"/>
  <c r="I1008" i="2"/>
  <c r="E1008" i="2"/>
  <c r="J1008" i="2" s="1"/>
  <c r="I1007" i="2"/>
  <c r="E1007" i="2"/>
  <c r="J1007" i="2" s="1"/>
  <c r="I1006" i="2"/>
  <c r="E1006" i="2"/>
  <c r="J1006" i="2" s="1"/>
  <c r="I1005" i="2"/>
  <c r="E1005" i="2"/>
  <c r="J1005" i="2" s="1"/>
  <c r="I1004" i="2"/>
  <c r="E1004" i="2"/>
  <c r="J1004" i="2" s="1"/>
  <c r="I1003" i="2"/>
  <c r="E1003" i="2"/>
  <c r="J1003" i="2" s="1"/>
  <c r="I1002" i="2"/>
  <c r="E1002" i="2"/>
  <c r="J1002" i="2" s="1"/>
  <c r="I1001" i="2"/>
  <c r="I228" i="5" s="1"/>
  <c r="E1001" i="2"/>
  <c r="E228" i="5" s="1"/>
  <c r="I1000" i="2"/>
  <c r="E1000" i="2"/>
  <c r="J1000" i="2" s="1"/>
  <c r="I999" i="2"/>
  <c r="E999" i="2"/>
  <c r="J999" i="2" s="1"/>
  <c r="I998" i="2"/>
  <c r="E998" i="2"/>
  <c r="J998" i="2" s="1"/>
  <c r="I997" i="2"/>
  <c r="E997" i="2"/>
  <c r="J997" i="2" s="1"/>
  <c r="I996" i="2"/>
  <c r="E996" i="2"/>
  <c r="J996" i="2" s="1"/>
  <c r="I995" i="2"/>
  <c r="E995" i="2"/>
  <c r="J995" i="2" s="1"/>
  <c r="I994" i="2"/>
  <c r="E994" i="2"/>
  <c r="J994" i="2" s="1"/>
  <c r="I993" i="2"/>
  <c r="E993" i="2"/>
  <c r="J993" i="2" s="1"/>
  <c r="I992" i="2"/>
  <c r="E992" i="2"/>
  <c r="J992" i="2" s="1"/>
  <c r="I991" i="2"/>
  <c r="E991" i="2"/>
  <c r="J991" i="2" s="1"/>
  <c r="I990" i="2"/>
  <c r="E990" i="2"/>
  <c r="J990" i="2" s="1"/>
  <c r="I989" i="2"/>
  <c r="E989" i="2"/>
  <c r="J989" i="2" s="1"/>
  <c r="I988" i="2"/>
  <c r="E988" i="2"/>
  <c r="J988" i="2" s="1"/>
  <c r="I987" i="2"/>
  <c r="E987" i="2"/>
  <c r="J987" i="2" s="1"/>
  <c r="I986" i="2"/>
  <c r="E986" i="2"/>
  <c r="J986" i="2" s="1"/>
  <c r="I985" i="2"/>
  <c r="E985" i="2"/>
  <c r="J985" i="2" s="1"/>
  <c r="I984" i="2"/>
  <c r="E984" i="2"/>
  <c r="J984" i="2" s="1"/>
  <c r="I983" i="2"/>
  <c r="E983" i="2"/>
  <c r="J983" i="2" s="1"/>
  <c r="I982" i="2"/>
  <c r="E982" i="2"/>
  <c r="J982" i="2" s="1"/>
  <c r="I981" i="2"/>
  <c r="E981" i="2"/>
  <c r="J981" i="2" s="1"/>
  <c r="I980" i="2"/>
  <c r="E980" i="2"/>
  <c r="J980" i="2" s="1"/>
  <c r="I979" i="2"/>
  <c r="E979" i="2"/>
  <c r="J979" i="2" s="1"/>
  <c r="I978" i="2"/>
  <c r="E978" i="2"/>
  <c r="J978" i="2" s="1"/>
  <c r="I977" i="2"/>
  <c r="E977" i="2"/>
  <c r="J977" i="2" s="1"/>
  <c r="I976" i="2"/>
  <c r="E976" i="2"/>
  <c r="J976" i="2" s="1"/>
  <c r="I975" i="2"/>
  <c r="E975" i="2"/>
  <c r="J975" i="2" s="1"/>
  <c r="I974" i="2"/>
  <c r="E974" i="2"/>
  <c r="J974" i="2" s="1"/>
  <c r="I973" i="2"/>
  <c r="E973" i="2"/>
  <c r="J973" i="2" s="1"/>
  <c r="I972" i="2"/>
  <c r="E972" i="2"/>
  <c r="J972" i="2" s="1"/>
  <c r="I971" i="2"/>
  <c r="E971" i="2"/>
  <c r="J971" i="2" s="1"/>
  <c r="I970" i="2"/>
  <c r="E970" i="2"/>
  <c r="J970" i="2" s="1"/>
  <c r="I969" i="2"/>
  <c r="E969" i="2"/>
  <c r="J969" i="2" s="1"/>
  <c r="I968" i="2"/>
  <c r="E968" i="2"/>
  <c r="J968" i="2" s="1"/>
  <c r="I967" i="2"/>
  <c r="E967" i="2"/>
  <c r="J967" i="2" s="1"/>
  <c r="I966" i="2"/>
  <c r="E966" i="2"/>
  <c r="J966" i="2" s="1"/>
  <c r="I965" i="2"/>
  <c r="E965" i="2"/>
  <c r="J965" i="2" s="1"/>
  <c r="I964" i="2"/>
  <c r="E964" i="2"/>
  <c r="J964" i="2" s="1"/>
  <c r="I963" i="2"/>
  <c r="E963" i="2"/>
  <c r="J963" i="2" s="1"/>
  <c r="I962" i="2"/>
  <c r="E962" i="2"/>
  <c r="J962" i="2" s="1"/>
  <c r="I961" i="2"/>
  <c r="E961" i="2"/>
  <c r="J961" i="2" s="1"/>
  <c r="I960" i="2"/>
  <c r="E960" i="2"/>
  <c r="J960" i="2" s="1"/>
  <c r="I959" i="2"/>
  <c r="E959" i="2"/>
  <c r="J959" i="2" s="1"/>
  <c r="I958" i="2"/>
  <c r="E958" i="2"/>
  <c r="J958" i="2" s="1"/>
  <c r="I957" i="2"/>
  <c r="E957" i="2"/>
  <c r="J957" i="2" s="1"/>
  <c r="I956" i="2"/>
  <c r="E956" i="2"/>
  <c r="J956" i="2" s="1"/>
  <c r="I955" i="2"/>
  <c r="E955" i="2"/>
  <c r="J955" i="2" s="1"/>
  <c r="I954" i="2"/>
  <c r="E954" i="2"/>
  <c r="J954" i="2" s="1"/>
  <c r="I953" i="2"/>
  <c r="E953" i="2"/>
  <c r="J953" i="2" s="1"/>
  <c r="I952" i="2"/>
  <c r="E952" i="2"/>
  <c r="J952" i="2" s="1"/>
  <c r="I951" i="2"/>
  <c r="E951" i="2"/>
  <c r="J951" i="2" s="1"/>
  <c r="I950" i="2"/>
  <c r="E950" i="2"/>
  <c r="J950" i="2" s="1"/>
  <c r="I949" i="2"/>
  <c r="E949" i="2"/>
  <c r="J949" i="2" s="1"/>
  <c r="I948" i="2"/>
  <c r="E948" i="2"/>
  <c r="J948" i="2" s="1"/>
  <c r="I947" i="2"/>
  <c r="E947" i="2"/>
  <c r="J947" i="2" s="1"/>
  <c r="I946" i="2"/>
  <c r="E946" i="2"/>
  <c r="J946" i="2" s="1"/>
  <c r="I945" i="2"/>
  <c r="E945" i="2"/>
  <c r="J945" i="2" s="1"/>
  <c r="I944" i="2"/>
  <c r="E944" i="2"/>
  <c r="J944" i="2" s="1"/>
  <c r="I943" i="2"/>
  <c r="E943" i="2"/>
  <c r="J943" i="2" s="1"/>
  <c r="I942" i="2"/>
  <c r="E942" i="2"/>
  <c r="J942" i="2" s="1"/>
  <c r="I941" i="2"/>
  <c r="E941" i="2"/>
  <c r="J941" i="2" s="1"/>
  <c r="I940" i="2"/>
  <c r="E940" i="2"/>
  <c r="J940" i="2" s="1"/>
  <c r="I939" i="2"/>
  <c r="E939" i="2"/>
  <c r="J939" i="2" s="1"/>
  <c r="I938" i="2"/>
  <c r="E938" i="2"/>
  <c r="J938" i="2" s="1"/>
  <c r="I937" i="2"/>
  <c r="E937" i="2"/>
  <c r="J937" i="2" s="1"/>
  <c r="I936" i="2"/>
  <c r="E936" i="2"/>
  <c r="J936" i="2" s="1"/>
  <c r="I935" i="2"/>
  <c r="E935" i="2"/>
  <c r="J935" i="2" s="1"/>
  <c r="I934" i="2"/>
  <c r="E934" i="2"/>
  <c r="J934" i="2" s="1"/>
  <c r="I933" i="2"/>
  <c r="E933" i="2"/>
  <c r="J933" i="2" s="1"/>
  <c r="I932" i="2"/>
  <c r="E932" i="2"/>
  <c r="J932" i="2" s="1"/>
  <c r="I931" i="2"/>
  <c r="E931" i="2"/>
  <c r="J931" i="2" s="1"/>
  <c r="I930" i="2"/>
  <c r="E930" i="2"/>
  <c r="J930" i="2" s="1"/>
  <c r="I929" i="2"/>
  <c r="E929" i="2"/>
  <c r="J929" i="2" s="1"/>
  <c r="I928" i="2"/>
  <c r="E928" i="2"/>
  <c r="J928" i="2" s="1"/>
  <c r="I927" i="2"/>
  <c r="E927" i="2"/>
  <c r="J927" i="2" s="1"/>
  <c r="I926" i="2"/>
  <c r="E926" i="2"/>
  <c r="J926" i="2" s="1"/>
  <c r="I925" i="2"/>
  <c r="E925" i="2"/>
  <c r="J925" i="2" s="1"/>
  <c r="I924" i="2"/>
  <c r="E924" i="2"/>
  <c r="J924" i="2" s="1"/>
  <c r="I923" i="2"/>
  <c r="E923" i="2"/>
  <c r="J923" i="2" s="1"/>
  <c r="I922" i="2"/>
  <c r="E922" i="2"/>
  <c r="J922" i="2" s="1"/>
  <c r="I921" i="2"/>
  <c r="E921" i="2"/>
  <c r="J921" i="2" s="1"/>
  <c r="I920" i="2"/>
  <c r="E920" i="2"/>
  <c r="J920" i="2" s="1"/>
  <c r="I919" i="2"/>
  <c r="E919" i="2"/>
  <c r="J919" i="2" s="1"/>
  <c r="I918" i="2"/>
  <c r="E918" i="2"/>
  <c r="J918" i="2" s="1"/>
  <c r="I917" i="2"/>
  <c r="E917" i="2"/>
  <c r="J917" i="2" s="1"/>
  <c r="I916" i="2"/>
  <c r="E916" i="2"/>
  <c r="J916" i="2" s="1"/>
  <c r="I915" i="2"/>
  <c r="E915" i="2"/>
  <c r="J915" i="2" s="1"/>
  <c r="I914" i="2"/>
  <c r="E914" i="2"/>
  <c r="J914" i="2" s="1"/>
  <c r="I913" i="2"/>
  <c r="E913" i="2"/>
  <c r="J913" i="2" s="1"/>
  <c r="I912" i="2"/>
  <c r="E912" i="2"/>
  <c r="J912" i="2" s="1"/>
  <c r="I911" i="2"/>
  <c r="E911" i="2"/>
  <c r="J911" i="2" s="1"/>
  <c r="I910" i="2"/>
  <c r="E910" i="2"/>
  <c r="J910" i="2" s="1"/>
  <c r="I909" i="2"/>
  <c r="E909" i="2"/>
  <c r="J909" i="2" s="1"/>
  <c r="I908" i="2"/>
  <c r="I227" i="5" s="1"/>
  <c r="E908" i="2"/>
  <c r="E227" i="5" s="1"/>
  <c r="I907" i="2"/>
  <c r="E907" i="2"/>
  <c r="I906" i="2"/>
  <c r="E906" i="2"/>
  <c r="J906" i="2" s="1"/>
  <c r="I905" i="2"/>
  <c r="E905" i="2"/>
  <c r="J905" i="2" s="1"/>
  <c r="I904" i="2"/>
  <c r="E904" i="2"/>
  <c r="J904" i="2" s="1"/>
  <c r="I903" i="2"/>
  <c r="E903" i="2"/>
  <c r="J903" i="2" s="1"/>
  <c r="I902" i="2"/>
  <c r="E902" i="2"/>
  <c r="J902" i="2" s="1"/>
  <c r="I901" i="2"/>
  <c r="E901" i="2"/>
  <c r="J901" i="2" s="1"/>
  <c r="I900" i="2"/>
  <c r="E900" i="2"/>
  <c r="J900" i="2" s="1"/>
  <c r="I899" i="2"/>
  <c r="E899" i="2"/>
  <c r="J899" i="2" s="1"/>
  <c r="I898" i="2"/>
  <c r="E898" i="2"/>
  <c r="J898" i="2" s="1"/>
  <c r="I897" i="2"/>
  <c r="E897" i="2"/>
  <c r="J897" i="2" s="1"/>
  <c r="I896" i="2"/>
  <c r="E896" i="2"/>
  <c r="J896" i="2" s="1"/>
  <c r="I895" i="2"/>
  <c r="E895" i="2"/>
  <c r="J895" i="2" s="1"/>
  <c r="I894" i="2"/>
  <c r="E894" i="2"/>
  <c r="J894" i="2" s="1"/>
  <c r="I893" i="2"/>
  <c r="E893" i="2"/>
  <c r="J893" i="2" s="1"/>
  <c r="I892" i="2"/>
  <c r="E892" i="2"/>
  <c r="J892" i="2" s="1"/>
  <c r="I891" i="2"/>
  <c r="E891" i="2"/>
  <c r="J891" i="2" s="1"/>
  <c r="I890" i="2"/>
  <c r="E890" i="2"/>
  <c r="J890" i="2" s="1"/>
  <c r="I889" i="2"/>
  <c r="E889" i="2"/>
  <c r="J889" i="2" s="1"/>
  <c r="I888" i="2"/>
  <c r="E888" i="2"/>
  <c r="J888" i="2" s="1"/>
  <c r="I887" i="2"/>
  <c r="E887" i="2"/>
  <c r="J887" i="2" s="1"/>
  <c r="I886" i="2"/>
  <c r="E886" i="2"/>
  <c r="J886" i="2" s="1"/>
  <c r="I885" i="2"/>
  <c r="E885" i="2"/>
  <c r="J885" i="2" s="1"/>
  <c r="I884" i="2"/>
  <c r="E884" i="2"/>
  <c r="J884" i="2" s="1"/>
  <c r="I883" i="2"/>
  <c r="E883" i="2"/>
  <c r="J883" i="2" s="1"/>
  <c r="I882" i="2"/>
  <c r="E882" i="2"/>
  <c r="J882" i="2" s="1"/>
  <c r="I881" i="2"/>
  <c r="E881" i="2"/>
  <c r="J881" i="2" s="1"/>
  <c r="I880" i="2"/>
  <c r="E880" i="2"/>
  <c r="J880" i="2" s="1"/>
  <c r="I879" i="2"/>
  <c r="I224" i="5" s="1"/>
  <c r="E879" i="2"/>
  <c r="E224" i="5" s="1"/>
  <c r="I878" i="2"/>
  <c r="E878" i="2"/>
  <c r="J878" i="2" s="1"/>
  <c r="I877" i="2"/>
  <c r="E877" i="2"/>
  <c r="J877" i="2" s="1"/>
  <c r="I876" i="2"/>
  <c r="E876" i="2"/>
  <c r="J876" i="2" s="1"/>
  <c r="I875" i="2"/>
  <c r="I223" i="5" s="1"/>
  <c r="E875" i="2"/>
  <c r="E223" i="5" s="1"/>
  <c r="I874" i="2"/>
  <c r="E874" i="2"/>
  <c r="J874" i="2" s="1"/>
  <c r="I873" i="2"/>
  <c r="E873" i="2"/>
  <c r="J873" i="2" s="1"/>
  <c r="I872" i="2"/>
  <c r="E872" i="2"/>
  <c r="J872" i="2" s="1"/>
  <c r="I871" i="2"/>
  <c r="E871" i="2"/>
  <c r="J871" i="2" s="1"/>
  <c r="I870" i="2"/>
  <c r="E870" i="2"/>
  <c r="J870" i="2" s="1"/>
  <c r="I869" i="2"/>
  <c r="I222" i="5" s="1"/>
  <c r="E869" i="2"/>
  <c r="E222" i="5" s="1"/>
  <c r="I868" i="2"/>
  <c r="E868" i="2"/>
  <c r="J868" i="2" s="1"/>
  <c r="I867" i="2"/>
  <c r="E867" i="2"/>
  <c r="J867" i="2" s="1"/>
  <c r="I866" i="2"/>
  <c r="I221" i="5" s="1"/>
  <c r="E866" i="2"/>
  <c r="E221" i="5" s="1"/>
  <c r="I865" i="2"/>
  <c r="I220" i="5" s="1"/>
  <c r="E865" i="2"/>
  <c r="E220" i="5" s="1"/>
  <c r="I864" i="2"/>
  <c r="E864" i="2"/>
  <c r="J864" i="2" s="1"/>
  <c r="I863" i="2"/>
  <c r="E863" i="2"/>
  <c r="J863" i="2" s="1"/>
  <c r="I862" i="2"/>
  <c r="E862" i="2"/>
  <c r="J862" i="2" s="1"/>
  <c r="I861" i="2"/>
  <c r="E861" i="2"/>
  <c r="J861" i="2" s="1"/>
  <c r="I860" i="2"/>
  <c r="E860" i="2"/>
  <c r="J860" i="2" s="1"/>
  <c r="I859" i="2"/>
  <c r="E859" i="2"/>
  <c r="J859" i="2" s="1"/>
  <c r="I858" i="2"/>
  <c r="E858" i="2"/>
  <c r="J858" i="2" s="1"/>
  <c r="I857" i="2"/>
  <c r="E857" i="2"/>
  <c r="J857" i="2" s="1"/>
  <c r="I856" i="2"/>
  <c r="E856" i="2"/>
  <c r="J856" i="2" s="1"/>
  <c r="I855" i="2"/>
  <c r="E855" i="2"/>
  <c r="J855" i="2" s="1"/>
  <c r="I854" i="2"/>
  <c r="E854" i="2"/>
  <c r="J854" i="2" s="1"/>
  <c r="I853" i="2"/>
  <c r="E853" i="2"/>
  <c r="J853" i="2" s="1"/>
  <c r="I852" i="2"/>
  <c r="E852" i="2"/>
  <c r="J852" i="2" s="1"/>
  <c r="I851" i="2"/>
  <c r="E851" i="2"/>
  <c r="J851" i="2" s="1"/>
  <c r="I850" i="2"/>
  <c r="I219" i="5" s="1"/>
  <c r="E850" i="2"/>
  <c r="E219" i="5" s="1"/>
  <c r="I849" i="2"/>
  <c r="E849" i="2"/>
  <c r="I848" i="2"/>
  <c r="E848" i="2"/>
  <c r="J848" i="2" s="1"/>
  <c r="I847" i="2"/>
  <c r="E847" i="2"/>
  <c r="J847" i="2" s="1"/>
  <c r="I846" i="2"/>
  <c r="E846" i="2"/>
  <c r="J846" i="2" s="1"/>
  <c r="I845" i="2"/>
  <c r="E845" i="2"/>
  <c r="I844" i="2"/>
  <c r="E844" i="2"/>
  <c r="J844" i="2" s="1"/>
  <c r="I843" i="2"/>
  <c r="E843" i="2"/>
  <c r="I842" i="2"/>
  <c r="E842" i="2"/>
  <c r="J842" i="2" s="1"/>
  <c r="I841" i="2"/>
  <c r="E841" i="2"/>
  <c r="I840" i="2"/>
  <c r="E840" i="2"/>
  <c r="J840" i="2" s="1"/>
  <c r="I839" i="2"/>
  <c r="E839" i="2"/>
  <c r="I838" i="2"/>
  <c r="E838" i="2"/>
  <c r="I837" i="2"/>
  <c r="E837" i="2"/>
  <c r="I836" i="2"/>
  <c r="E836" i="2"/>
  <c r="I835" i="2"/>
  <c r="E835" i="2"/>
  <c r="I834" i="2"/>
  <c r="E834" i="2"/>
  <c r="I833" i="2"/>
  <c r="E833" i="2"/>
  <c r="J833" i="2" s="1"/>
  <c r="I832" i="2"/>
  <c r="E832" i="2"/>
  <c r="J832" i="2" s="1"/>
  <c r="I831" i="2"/>
  <c r="E831" i="2"/>
  <c r="I830" i="2"/>
  <c r="E830" i="2"/>
  <c r="J830" i="2" s="1"/>
  <c r="I829" i="2"/>
  <c r="E829" i="2"/>
  <c r="J829" i="2" s="1"/>
  <c r="I828" i="2"/>
  <c r="E828" i="2"/>
  <c r="J828" i="2" s="1"/>
  <c r="I827" i="2"/>
  <c r="E827" i="2"/>
  <c r="J827" i="2" s="1"/>
  <c r="I826" i="2"/>
  <c r="E826" i="2"/>
  <c r="J826" i="2" s="1"/>
  <c r="I825" i="2"/>
  <c r="E825" i="2"/>
  <c r="I824" i="2"/>
  <c r="E824" i="2"/>
  <c r="J824" i="2" s="1"/>
  <c r="I823" i="2"/>
  <c r="E823" i="2"/>
  <c r="J823" i="2" s="1"/>
  <c r="I822" i="2"/>
  <c r="E822" i="2"/>
  <c r="J822" i="2" s="1"/>
  <c r="I821" i="2"/>
  <c r="E821" i="2"/>
  <c r="J821" i="2" s="1"/>
  <c r="I820" i="2"/>
  <c r="E820" i="2"/>
  <c r="J820" i="2" s="1"/>
  <c r="I819" i="2"/>
  <c r="E819" i="2"/>
  <c r="J819" i="2" s="1"/>
  <c r="I818" i="2"/>
  <c r="E818" i="2"/>
  <c r="J818" i="2" s="1"/>
  <c r="I817" i="2"/>
  <c r="E817" i="2"/>
  <c r="J817" i="2" s="1"/>
  <c r="I816" i="2"/>
  <c r="E816" i="2"/>
  <c r="J816" i="2" s="1"/>
  <c r="I815" i="2"/>
  <c r="E815" i="2"/>
  <c r="I814" i="2"/>
  <c r="E814" i="2"/>
  <c r="J814" i="2" s="1"/>
  <c r="I813" i="2"/>
  <c r="E813" i="2"/>
  <c r="J813" i="2" s="1"/>
  <c r="I812" i="2"/>
  <c r="E812" i="2"/>
  <c r="I811" i="2"/>
  <c r="E811" i="2"/>
  <c r="J811" i="2" s="1"/>
  <c r="I810" i="2"/>
  <c r="E810" i="2"/>
  <c r="J810" i="2" s="1"/>
  <c r="I809" i="2"/>
  <c r="E809" i="2"/>
  <c r="J809" i="2" s="1"/>
  <c r="I808" i="2"/>
  <c r="E808" i="2"/>
  <c r="I807" i="2"/>
  <c r="E807" i="2"/>
  <c r="J807" i="2" s="1"/>
  <c r="I806" i="2"/>
  <c r="E806" i="2"/>
  <c r="J806" i="2" s="1"/>
  <c r="I805" i="2"/>
  <c r="E805" i="2"/>
  <c r="I804" i="2"/>
  <c r="E804" i="2"/>
  <c r="J804" i="2" s="1"/>
  <c r="I803" i="2"/>
  <c r="E803" i="2"/>
  <c r="J803" i="2" s="1"/>
  <c r="I802" i="2"/>
  <c r="E802" i="2"/>
  <c r="J802" i="2" s="1"/>
  <c r="I801" i="2"/>
  <c r="E801" i="2"/>
  <c r="J801" i="2" s="1"/>
  <c r="I800" i="2"/>
  <c r="E800" i="2"/>
  <c r="J800" i="2" s="1"/>
  <c r="I799" i="2"/>
  <c r="E799" i="2"/>
  <c r="J799" i="2" s="1"/>
  <c r="I798" i="2"/>
  <c r="E798" i="2"/>
  <c r="J798" i="2" s="1"/>
  <c r="I797" i="2"/>
  <c r="I1202" i="2" s="1"/>
  <c r="E797" i="2"/>
  <c r="E1202" i="2" s="1"/>
  <c r="I796" i="2"/>
  <c r="E796" i="2"/>
  <c r="I795" i="2"/>
  <c r="E795" i="2"/>
  <c r="J795" i="2" s="1"/>
  <c r="I794" i="2"/>
  <c r="E794" i="2"/>
  <c r="J794" i="2" s="1"/>
  <c r="I793" i="2"/>
  <c r="E793" i="2"/>
  <c r="J793" i="2" s="1"/>
  <c r="I792" i="2"/>
  <c r="E792" i="2"/>
  <c r="J792" i="2" s="1"/>
  <c r="I791" i="2"/>
  <c r="E791" i="2"/>
  <c r="J791" i="2" s="1"/>
  <c r="I790" i="2"/>
  <c r="E790" i="2"/>
  <c r="J790" i="2" s="1"/>
  <c r="I789" i="2"/>
  <c r="E789" i="2"/>
  <c r="J789" i="2" s="1"/>
  <c r="I788" i="2"/>
  <c r="E788" i="2"/>
  <c r="I787" i="2"/>
  <c r="I195" i="5" s="1"/>
  <c r="E787" i="2"/>
  <c r="E195" i="5" s="1"/>
  <c r="E193" i="6" s="1"/>
  <c r="I786" i="2"/>
  <c r="E786" i="2"/>
  <c r="J786" i="2" s="1"/>
  <c r="I785" i="2"/>
  <c r="I1200" i="2" s="1"/>
  <c r="E785" i="2"/>
  <c r="E1200" i="2" s="1"/>
  <c r="I784" i="2"/>
  <c r="I194" i="5" s="1"/>
  <c r="E784" i="2"/>
  <c r="E194" i="5" s="1"/>
  <c r="E192" i="6" s="1"/>
  <c r="I783" i="2"/>
  <c r="E783" i="2"/>
  <c r="I782" i="2"/>
  <c r="I1199" i="2" s="1"/>
  <c r="E782" i="2"/>
  <c r="E1199" i="2" s="1"/>
  <c r="I781" i="2"/>
  <c r="E781" i="2"/>
  <c r="J781" i="2" s="1"/>
  <c r="I780" i="2"/>
  <c r="E780" i="2"/>
  <c r="J780" i="2" s="1"/>
  <c r="I779" i="2"/>
  <c r="E779" i="2"/>
  <c r="J779" i="2" s="1"/>
  <c r="I778" i="2"/>
  <c r="E778" i="2"/>
  <c r="J778" i="2" s="1"/>
  <c r="I777" i="2"/>
  <c r="E777" i="2"/>
  <c r="J777" i="2" s="1"/>
  <c r="I776" i="2"/>
  <c r="E776" i="2"/>
  <c r="J776" i="2" s="1"/>
  <c r="I775" i="2"/>
  <c r="E775" i="2"/>
  <c r="J775" i="2" s="1"/>
  <c r="I774" i="2"/>
  <c r="E774" i="2"/>
  <c r="J774" i="2" s="1"/>
  <c r="I773" i="2"/>
  <c r="E773" i="2"/>
  <c r="J773" i="2" s="1"/>
  <c r="I772" i="2"/>
  <c r="E772" i="2"/>
  <c r="J772" i="2" s="1"/>
  <c r="I771" i="2"/>
  <c r="E771" i="2"/>
  <c r="J771" i="2" s="1"/>
  <c r="I770" i="2"/>
  <c r="E770" i="2"/>
  <c r="J770" i="2" s="1"/>
  <c r="I769" i="2"/>
  <c r="E769" i="2"/>
  <c r="I768" i="2"/>
  <c r="E768" i="2"/>
  <c r="J768" i="2" s="1"/>
  <c r="I767" i="2"/>
  <c r="E767" i="2"/>
  <c r="J767" i="2" s="1"/>
  <c r="I766" i="2"/>
  <c r="E766" i="2"/>
  <c r="J766" i="2" s="1"/>
  <c r="I765" i="2"/>
  <c r="E765" i="2"/>
  <c r="I764" i="2"/>
  <c r="E764" i="2"/>
  <c r="I763" i="2"/>
  <c r="E763" i="2"/>
  <c r="I762" i="2"/>
  <c r="E762" i="2"/>
  <c r="J762" i="2" s="1"/>
  <c r="I761" i="2"/>
  <c r="E761" i="2"/>
  <c r="J761" i="2" s="1"/>
  <c r="I760" i="2"/>
  <c r="E760" i="2"/>
  <c r="J760" i="2" s="1"/>
  <c r="I759" i="2"/>
  <c r="E759" i="2"/>
  <c r="J759" i="2" s="1"/>
  <c r="I758" i="2"/>
  <c r="E758" i="2"/>
  <c r="J758" i="2" s="1"/>
  <c r="I757" i="2"/>
  <c r="E757" i="2"/>
  <c r="I756" i="2"/>
  <c r="E756" i="2"/>
  <c r="J756" i="2" s="1"/>
  <c r="I755" i="2"/>
  <c r="E755" i="2"/>
  <c r="J755" i="2" s="1"/>
  <c r="I754" i="2"/>
  <c r="E754" i="2"/>
  <c r="J754" i="2" s="1"/>
  <c r="I753" i="2"/>
  <c r="E753" i="2"/>
  <c r="I752" i="2"/>
  <c r="E752" i="2"/>
  <c r="I751" i="2"/>
  <c r="E751" i="2"/>
  <c r="I750" i="2"/>
  <c r="E750" i="2"/>
  <c r="J750" i="2" s="1"/>
  <c r="I749" i="2"/>
  <c r="E749" i="2"/>
  <c r="J749" i="2" s="1"/>
  <c r="I748" i="2"/>
  <c r="E748" i="2"/>
  <c r="J748" i="2" s="1"/>
  <c r="I747" i="2"/>
  <c r="E747" i="2"/>
  <c r="I746" i="2"/>
  <c r="E746" i="2"/>
  <c r="I745" i="2"/>
  <c r="E745" i="2"/>
  <c r="I744" i="2"/>
  <c r="E744" i="2"/>
  <c r="J744" i="2" s="1"/>
  <c r="I743" i="2"/>
  <c r="E743" i="2"/>
  <c r="J743" i="2" s="1"/>
  <c r="I742" i="2"/>
  <c r="E742" i="2"/>
  <c r="J742" i="2" s="1"/>
  <c r="I741" i="2"/>
  <c r="E741" i="2"/>
  <c r="I740" i="2"/>
  <c r="E740" i="2"/>
  <c r="I739" i="2"/>
  <c r="E739" i="2"/>
  <c r="I738" i="2"/>
  <c r="E738" i="2"/>
  <c r="J738" i="2" s="1"/>
  <c r="I737" i="2"/>
  <c r="E737" i="2"/>
  <c r="J737" i="2" s="1"/>
  <c r="I736" i="2"/>
  <c r="E736" i="2"/>
  <c r="J736" i="2" s="1"/>
  <c r="I735" i="2"/>
  <c r="E735" i="2"/>
  <c r="I734" i="2"/>
  <c r="E734" i="2"/>
  <c r="I733" i="2"/>
  <c r="E733" i="2"/>
  <c r="I732" i="2"/>
  <c r="E732" i="2"/>
  <c r="J732" i="2" s="1"/>
  <c r="I731" i="2"/>
  <c r="E731" i="2"/>
  <c r="J731" i="2" s="1"/>
  <c r="I730" i="2"/>
  <c r="E730" i="2"/>
  <c r="J730" i="2" s="1"/>
  <c r="I729" i="2"/>
  <c r="E729" i="2"/>
  <c r="I728" i="2"/>
  <c r="E728" i="2"/>
  <c r="I727" i="2"/>
  <c r="E727" i="2"/>
  <c r="I726" i="2"/>
  <c r="E726" i="2"/>
  <c r="J726" i="2" s="1"/>
  <c r="I725" i="2"/>
  <c r="E725" i="2"/>
  <c r="J725" i="2" s="1"/>
  <c r="I724" i="2"/>
  <c r="E724" i="2"/>
  <c r="J724" i="2" s="1"/>
  <c r="I723" i="2"/>
  <c r="E723" i="2"/>
  <c r="I722" i="2"/>
  <c r="E722" i="2"/>
  <c r="I721" i="2"/>
  <c r="E721" i="2"/>
  <c r="I720" i="2"/>
  <c r="E720" i="2"/>
  <c r="J720" i="2" s="1"/>
  <c r="I719" i="2"/>
  <c r="E719" i="2"/>
  <c r="J719" i="2" s="1"/>
  <c r="I718" i="2"/>
  <c r="E718" i="2"/>
  <c r="J718" i="2" s="1"/>
  <c r="I717" i="2"/>
  <c r="E717" i="2"/>
  <c r="I716" i="2"/>
  <c r="E716" i="2"/>
  <c r="I715" i="2"/>
  <c r="E715" i="2"/>
  <c r="I714" i="2"/>
  <c r="E714" i="2"/>
  <c r="I713" i="2"/>
  <c r="E713" i="2"/>
  <c r="I712" i="2"/>
  <c r="E712" i="2"/>
  <c r="J712" i="2" s="1"/>
  <c r="I711" i="2"/>
  <c r="E711" i="2"/>
  <c r="J711" i="2" s="1"/>
  <c r="I710" i="2"/>
  <c r="E710" i="2"/>
  <c r="J710" i="2" s="1"/>
  <c r="I709" i="2"/>
  <c r="E709" i="2"/>
  <c r="J709" i="2" s="1"/>
  <c r="I708" i="2"/>
  <c r="E708" i="2"/>
  <c r="J708" i="2" s="1"/>
  <c r="I707" i="2"/>
  <c r="I180" i="5" s="1"/>
  <c r="E707" i="2"/>
  <c r="E180" i="5" s="1"/>
  <c r="E178" i="6" s="1"/>
  <c r="I706" i="2"/>
  <c r="I179" i="5" s="1"/>
  <c r="E706" i="2"/>
  <c r="E179" i="5" s="1"/>
  <c r="E177" i="6" s="1"/>
  <c r="I705" i="2"/>
  <c r="I178" i="5" s="1"/>
  <c r="E705" i="2"/>
  <c r="E178" i="5" s="1"/>
  <c r="E176" i="6" s="1"/>
  <c r="I704" i="2"/>
  <c r="I177" i="5" s="1"/>
  <c r="E704" i="2"/>
  <c r="E177" i="5" s="1"/>
  <c r="E175" i="6" s="1"/>
  <c r="I703" i="2"/>
  <c r="I176" i="5" s="1"/>
  <c r="E703" i="2"/>
  <c r="E176" i="5" s="1"/>
  <c r="E174" i="6" s="1"/>
  <c r="I702" i="2"/>
  <c r="I175" i="5" s="1"/>
  <c r="E702" i="2"/>
  <c r="E175" i="5" s="1"/>
  <c r="E173" i="6" s="1"/>
  <c r="I701" i="2"/>
  <c r="E701" i="2"/>
  <c r="J701" i="2" s="1"/>
  <c r="I700" i="2"/>
  <c r="E700" i="2"/>
  <c r="J700" i="2" s="1"/>
  <c r="I699" i="2"/>
  <c r="E699" i="2"/>
  <c r="J699" i="2" s="1"/>
  <c r="I698" i="2"/>
  <c r="I174" i="5" s="1"/>
  <c r="E698" i="2"/>
  <c r="E174" i="5" s="1"/>
  <c r="E172" i="6" s="1"/>
  <c r="I697" i="2"/>
  <c r="E697" i="2"/>
  <c r="J697" i="2" s="1"/>
  <c r="I696" i="2"/>
  <c r="E696" i="2"/>
  <c r="J696" i="2" s="1"/>
  <c r="I695" i="2"/>
  <c r="I173" i="5" s="1"/>
  <c r="E695" i="2"/>
  <c r="E173" i="5" s="1"/>
  <c r="E171" i="6" s="1"/>
  <c r="I694" i="2"/>
  <c r="E694" i="2"/>
  <c r="J694" i="2" s="1"/>
  <c r="I693" i="2"/>
  <c r="E693" i="2"/>
  <c r="J693" i="2" s="1"/>
  <c r="I692" i="2"/>
  <c r="E692" i="2"/>
  <c r="J692" i="2" s="1"/>
  <c r="I691" i="2"/>
  <c r="E691" i="2"/>
  <c r="J691" i="2" s="1"/>
  <c r="I690" i="2"/>
  <c r="E690" i="2"/>
  <c r="J690" i="2" s="1"/>
  <c r="I689" i="2"/>
  <c r="E689" i="2"/>
  <c r="J689" i="2" s="1"/>
  <c r="I688" i="2"/>
  <c r="E688" i="2"/>
  <c r="J688" i="2" s="1"/>
  <c r="I687" i="2"/>
  <c r="I172" i="5" s="1"/>
  <c r="E687" i="2"/>
  <c r="E172" i="5" s="1"/>
  <c r="E170" i="6" s="1"/>
  <c r="I686" i="2"/>
  <c r="I171" i="5" s="1"/>
  <c r="E686" i="2"/>
  <c r="E171" i="5" s="1"/>
  <c r="E169" i="6" s="1"/>
  <c r="I685" i="2"/>
  <c r="E685" i="2"/>
  <c r="J685" i="2" s="1"/>
  <c r="I684" i="2"/>
  <c r="E684" i="2"/>
  <c r="J684" i="2" s="1"/>
  <c r="I683" i="2"/>
  <c r="E683" i="2"/>
  <c r="J683" i="2" s="1"/>
  <c r="I682" i="2"/>
  <c r="E682" i="2"/>
  <c r="J682" i="2" s="1"/>
  <c r="I681" i="2"/>
  <c r="E681" i="2"/>
  <c r="J681" i="2" s="1"/>
  <c r="I680" i="2"/>
  <c r="E680" i="2"/>
  <c r="J680" i="2" s="1"/>
  <c r="I679" i="2"/>
  <c r="E679" i="2"/>
  <c r="J679" i="2" s="1"/>
  <c r="I678" i="2"/>
  <c r="E678" i="2"/>
  <c r="J678" i="2" s="1"/>
  <c r="I677" i="2"/>
  <c r="E677" i="2"/>
  <c r="J677" i="2" s="1"/>
  <c r="I676" i="2"/>
  <c r="E676" i="2"/>
  <c r="J676" i="2" s="1"/>
  <c r="I675" i="2"/>
  <c r="E675" i="2"/>
  <c r="J675" i="2" s="1"/>
  <c r="I674" i="2"/>
  <c r="E674" i="2"/>
  <c r="J674" i="2" s="1"/>
  <c r="I673" i="2"/>
  <c r="I170" i="5" s="1"/>
  <c r="E673" i="2"/>
  <c r="E170" i="5" s="1"/>
  <c r="E168" i="6" s="1"/>
  <c r="I672" i="2"/>
  <c r="E672" i="2"/>
  <c r="I671" i="2"/>
  <c r="E671" i="2"/>
  <c r="J671" i="2" s="1"/>
  <c r="I670" i="2"/>
  <c r="E670" i="2"/>
  <c r="J670" i="2" s="1"/>
  <c r="I669" i="2"/>
  <c r="E669" i="2"/>
  <c r="I668" i="2"/>
  <c r="E668" i="2"/>
  <c r="J668" i="2" s="1"/>
  <c r="I667" i="2"/>
  <c r="E667" i="2"/>
  <c r="J667" i="2" s="1"/>
  <c r="I666" i="2"/>
  <c r="E666" i="2"/>
  <c r="J666" i="2" s="1"/>
  <c r="I665" i="2"/>
  <c r="I167" i="5" s="1"/>
  <c r="E665" i="2"/>
  <c r="E167" i="5" s="1"/>
  <c r="E165" i="6" s="1"/>
  <c r="I664" i="2"/>
  <c r="I166" i="5" s="1"/>
  <c r="E664" i="2"/>
  <c r="E166" i="5" s="1"/>
  <c r="E164" i="6" s="1"/>
  <c r="I663" i="2"/>
  <c r="E663" i="2"/>
  <c r="J663" i="2" s="1"/>
  <c r="I662" i="2"/>
  <c r="E662" i="2"/>
  <c r="J662" i="2" s="1"/>
  <c r="I661" i="2"/>
  <c r="I165" i="5" s="1"/>
  <c r="E661" i="2"/>
  <c r="E165" i="5" s="1"/>
  <c r="E163" i="6" s="1"/>
  <c r="I660" i="2"/>
  <c r="I164" i="5" s="1"/>
  <c r="E660" i="2"/>
  <c r="E164" i="5" s="1"/>
  <c r="E162" i="6" s="1"/>
  <c r="I659" i="2"/>
  <c r="E659" i="2"/>
  <c r="I658" i="2"/>
  <c r="E658" i="2"/>
  <c r="I657" i="2"/>
  <c r="E657" i="2"/>
  <c r="J657" i="2" s="1"/>
  <c r="I656" i="2"/>
  <c r="E656" i="2"/>
  <c r="J656" i="2" s="1"/>
  <c r="I655" i="2"/>
  <c r="E655" i="2"/>
  <c r="J655" i="2" s="1"/>
  <c r="I654" i="2"/>
  <c r="E654" i="2"/>
  <c r="I653" i="2"/>
  <c r="E653" i="2"/>
  <c r="J653" i="2" s="1"/>
  <c r="I652" i="2"/>
  <c r="E652" i="2"/>
  <c r="J652" i="2" s="1"/>
  <c r="I651" i="2"/>
  <c r="E651" i="2"/>
  <c r="I650" i="2"/>
  <c r="E650" i="2"/>
  <c r="I649" i="2"/>
  <c r="E649" i="2"/>
  <c r="I648" i="2"/>
  <c r="E648" i="2"/>
  <c r="I647" i="2"/>
  <c r="I1192" i="2" s="1"/>
  <c r="E647" i="2"/>
  <c r="E1192" i="2" s="1"/>
  <c r="I646" i="2"/>
  <c r="E646" i="2"/>
  <c r="J646" i="2" s="1"/>
  <c r="I645" i="2"/>
  <c r="E645" i="2"/>
  <c r="J645" i="2" s="1"/>
  <c r="I644" i="2"/>
  <c r="E644" i="2"/>
  <c r="J644" i="2" s="1"/>
  <c r="I643" i="2"/>
  <c r="E643" i="2"/>
  <c r="I642" i="2"/>
  <c r="E642" i="2"/>
  <c r="I641" i="2"/>
  <c r="E641" i="2"/>
  <c r="I640" i="2"/>
  <c r="I155" i="5" s="1"/>
  <c r="E640" i="2"/>
  <c r="E155" i="5" s="1"/>
  <c r="E153" i="6" s="1"/>
  <c r="I639" i="2"/>
  <c r="I1190" i="2" s="1"/>
  <c r="E639" i="2"/>
  <c r="E1190" i="2" s="1"/>
  <c r="I638" i="2"/>
  <c r="E638" i="2"/>
  <c r="J638" i="2" s="1"/>
  <c r="I637" i="2"/>
  <c r="E637" i="2"/>
  <c r="I636" i="2"/>
  <c r="I153" i="5" s="1"/>
  <c r="E636" i="2"/>
  <c r="E153" i="5" s="1"/>
  <c r="E151" i="6" s="1"/>
  <c r="I635" i="2"/>
  <c r="E635" i="2"/>
  <c r="I634" i="2"/>
  <c r="I151" i="5" s="1"/>
  <c r="E634" i="2"/>
  <c r="E151" i="5" s="1"/>
  <c r="E149" i="6" s="1"/>
  <c r="I633" i="2"/>
  <c r="I150" i="5" s="1"/>
  <c r="E633" i="2"/>
  <c r="E150" i="5" s="1"/>
  <c r="E148" i="6" s="1"/>
  <c r="I632" i="2"/>
  <c r="I149" i="5" s="1"/>
  <c r="E632" i="2"/>
  <c r="E149" i="5" s="1"/>
  <c r="E147" i="6" s="1"/>
  <c r="I631" i="2"/>
  <c r="E631" i="2"/>
  <c r="I630" i="2"/>
  <c r="I147" i="5" s="1"/>
  <c r="E630" i="2"/>
  <c r="E147" i="5" s="1"/>
  <c r="E145" i="6" s="1"/>
  <c r="I629" i="2"/>
  <c r="I146" i="5" s="1"/>
  <c r="E629" i="2"/>
  <c r="E146" i="5" s="1"/>
  <c r="E144" i="6" s="1"/>
  <c r="I628" i="2"/>
  <c r="I145" i="5" s="1"/>
  <c r="E628" i="2"/>
  <c r="E145" i="5" s="1"/>
  <c r="E143" i="6" s="1"/>
  <c r="I627" i="2"/>
  <c r="E627" i="2"/>
  <c r="I626" i="2"/>
  <c r="I143" i="5" s="1"/>
  <c r="E626" i="2"/>
  <c r="E143" i="5" s="1"/>
  <c r="E141" i="6" s="1"/>
  <c r="I625" i="2"/>
  <c r="E625" i="2"/>
  <c r="I624" i="2"/>
  <c r="E624" i="2"/>
  <c r="I623" i="2"/>
  <c r="I140" i="5" s="1"/>
  <c r="E623" i="2"/>
  <c r="E140" i="5" s="1"/>
  <c r="I622" i="2"/>
  <c r="E622" i="2"/>
  <c r="J622" i="2" s="1"/>
  <c r="I621" i="2"/>
  <c r="E621" i="2"/>
  <c r="I620" i="2"/>
  <c r="E620" i="2"/>
  <c r="J620" i="2" s="1"/>
  <c r="I619" i="2"/>
  <c r="E619" i="2"/>
  <c r="I618" i="2"/>
  <c r="E618" i="2"/>
  <c r="J618" i="2" s="1"/>
  <c r="I617" i="2"/>
  <c r="E617" i="2"/>
  <c r="I616" i="2"/>
  <c r="E616" i="2"/>
  <c r="J616" i="2" s="1"/>
  <c r="I615" i="2"/>
  <c r="E615" i="2"/>
  <c r="J615" i="2" s="1"/>
  <c r="I614" i="2"/>
  <c r="E614" i="2"/>
  <c r="J614" i="2" s="1"/>
  <c r="I613" i="2"/>
  <c r="I1168" i="2" s="1"/>
  <c r="E613" i="2"/>
  <c r="I612" i="2"/>
  <c r="E612" i="2"/>
  <c r="J612" i="2" s="1"/>
  <c r="I611" i="2"/>
  <c r="E611" i="2"/>
  <c r="J611" i="2" s="1"/>
  <c r="I610" i="2"/>
  <c r="E610" i="2"/>
  <c r="J610" i="2" s="1"/>
  <c r="I609" i="2"/>
  <c r="E609" i="2"/>
  <c r="J609" i="2" s="1"/>
  <c r="I608" i="2"/>
  <c r="E608" i="2"/>
  <c r="J608" i="2" s="1"/>
  <c r="I607" i="2"/>
  <c r="E607" i="2"/>
  <c r="J607" i="2" s="1"/>
  <c r="I606" i="2"/>
  <c r="I132" i="5" s="1"/>
  <c r="E606" i="2"/>
  <c r="E132" i="5" s="1"/>
  <c r="E132" i="6" s="1"/>
  <c r="I605" i="2"/>
  <c r="E605" i="2"/>
  <c r="J605" i="2" s="1"/>
  <c r="I604" i="2"/>
  <c r="E604" i="2"/>
  <c r="J604" i="2" s="1"/>
  <c r="I603" i="2"/>
  <c r="I131" i="5" s="1"/>
  <c r="E603" i="2"/>
  <c r="E131" i="5" s="1"/>
  <c r="E131" i="6" s="1"/>
  <c r="I602" i="2"/>
  <c r="E602" i="2"/>
  <c r="J602" i="2" s="1"/>
  <c r="I601" i="2"/>
  <c r="E601" i="2"/>
  <c r="J601" i="2" s="1"/>
  <c r="I600" i="2"/>
  <c r="E600" i="2"/>
  <c r="J600" i="2" s="1"/>
  <c r="I599" i="2"/>
  <c r="I130" i="5" s="1"/>
  <c r="E599" i="2"/>
  <c r="E130" i="5" s="1"/>
  <c r="E130" i="6" s="1"/>
  <c r="I598" i="2"/>
  <c r="E598" i="2"/>
  <c r="J598" i="2" s="1"/>
  <c r="I597" i="2"/>
  <c r="E597" i="2"/>
  <c r="J597" i="2" s="1"/>
  <c r="I596" i="2"/>
  <c r="E596" i="2"/>
  <c r="J596" i="2" s="1"/>
  <c r="I595" i="2"/>
  <c r="E595" i="2"/>
  <c r="J595" i="2" s="1"/>
  <c r="I594" i="2"/>
  <c r="E594" i="2"/>
  <c r="J594" i="2" s="1"/>
  <c r="I593" i="2"/>
  <c r="E593" i="2"/>
  <c r="J593" i="2" s="1"/>
  <c r="I592" i="2"/>
  <c r="E592" i="2"/>
  <c r="J592" i="2" s="1"/>
  <c r="I591" i="2"/>
  <c r="E591" i="2"/>
  <c r="J591" i="2" s="1"/>
  <c r="I590" i="2"/>
  <c r="I129" i="5" s="1"/>
  <c r="E590" i="2"/>
  <c r="E129" i="5" s="1"/>
  <c r="E129" i="6" s="1"/>
  <c r="I589" i="2"/>
  <c r="E589" i="2"/>
  <c r="J589" i="2" s="1"/>
  <c r="I588" i="2"/>
  <c r="E588" i="2"/>
  <c r="J588" i="2" s="1"/>
  <c r="I587" i="2"/>
  <c r="E587" i="2"/>
  <c r="J587" i="2" s="1"/>
  <c r="I586" i="2"/>
  <c r="E586" i="2"/>
  <c r="J586" i="2" s="1"/>
  <c r="I585" i="2"/>
  <c r="I128" i="5" s="1"/>
  <c r="E585" i="2"/>
  <c r="E128" i="5" s="1"/>
  <c r="E128" i="6" s="1"/>
  <c r="I584" i="2"/>
  <c r="E584" i="2"/>
  <c r="J584" i="2" s="1"/>
  <c r="I583" i="2"/>
  <c r="E583" i="2"/>
  <c r="J583" i="2" s="1"/>
  <c r="I582" i="2"/>
  <c r="E582" i="2"/>
  <c r="E1161" i="2" s="1"/>
  <c r="I581" i="2"/>
  <c r="I1235" i="2" s="1"/>
  <c r="E581" i="2"/>
  <c r="E1235" i="2" s="1"/>
  <c r="I580" i="2"/>
  <c r="E580" i="2"/>
  <c r="E1159" i="2" s="1"/>
  <c r="I579" i="2"/>
  <c r="E579" i="2"/>
  <c r="J579" i="2" s="1"/>
  <c r="I578" i="2"/>
  <c r="E578" i="2"/>
  <c r="J578" i="2" s="1"/>
  <c r="I577" i="2"/>
  <c r="E577" i="2"/>
  <c r="J577" i="2" s="1"/>
  <c r="I576" i="2"/>
  <c r="E576" i="2"/>
  <c r="J576" i="2" s="1"/>
  <c r="I575" i="2"/>
  <c r="E575" i="2"/>
  <c r="J575" i="2" s="1"/>
  <c r="I574" i="2"/>
  <c r="I1233" i="2" s="1"/>
  <c r="E574" i="2"/>
  <c r="E1233" i="2" s="1"/>
  <c r="I573" i="2"/>
  <c r="E573" i="2"/>
  <c r="J573" i="2" s="1"/>
  <c r="I572" i="2"/>
  <c r="I1232" i="2" s="1"/>
  <c r="E572" i="2"/>
  <c r="E1232" i="2" s="1"/>
  <c r="I571" i="2"/>
  <c r="I1366" i="2" s="1"/>
  <c r="E571" i="2"/>
  <c r="E1366" i="2" s="1"/>
  <c r="I570" i="2"/>
  <c r="I1365" i="2" s="1"/>
  <c r="E570" i="2"/>
  <c r="E1365" i="2" s="1"/>
  <c r="I569" i="2"/>
  <c r="I1364" i="2" s="1"/>
  <c r="E569" i="2"/>
  <c r="E1364" i="2" s="1"/>
  <c r="I568" i="2"/>
  <c r="I1363" i="2" s="1"/>
  <c r="E568" i="2"/>
  <c r="E1363" i="2" s="1"/>
  <c r="I567" i="2"/>
  <c r="I1362" i="2" s="1"/>
  <c r="E567" i="2"/>
  <c r="E1362" i="2" s="1"/>
  <c r="I566" i="2"/>
  <c r="I1361" i="2" s="1"/>
  <c r="E566" i="2"/>
  <c r="E1361" i="2" s="1"/>
  <c r="I565" i="2"/>
  <c r="I1231" i="2" s="1"/>
  <c r="E565" i="2"/>
  <c r="E1231" i="2" s="1"/>
  <c r="I564" i="2"/>
  <c r="I1230" i="2" s="1"/>
  <c r="E564" i="2"/>
  <c r="E1230" i="2" s="1"/>
  <c r="I563" i="2"/>
  <c r="I1229" i="2" s="1"/>
  <c r="E563" i="2"/>
  <c r="E1229" i="2" s="1"/>
  <c r="I562" i="2"/>
  <c r="I1228" i="2" s="1"/>
  <c r="E562" i="2"/>
  <c r="E1228" i="2" s="1"/>
  <c r="I561" i="2"/>
  <c r="I126" i="5" s="1"/>
  <c r="E561" i="2"/>
  <c r="E126" i="5" s="1"/>
  <c r="E126" i="6" s="1"/>
  <c r="I560" i="2"/>
  <c r="E560" i="2"/>
  <c r="J560" i="2" s="1"/>
  <c r="I559" i="2"/>
  <c r="E559" i="2"/>
  <c r="J559" i="2" s="1"/>
  <c r="I558" i="2"/>
  <c r="E558" i="2"/>
  <c r="J558" i="2" s="1"/>
  <c r="I557" i="2"/>
  <c r="E557" i="2"/>
  <c r="J557" i="2" s="1"/>
  <c r="I556" i="2"/>
  <c r="E556" i="2"/>
  <c r="J556" i="2" s="1"/>
  <c r="I555" i="2"/>
  <c r="E555" i="2"/>
  <c r="I554" i="2"/>
  <c r="E554" i="2"/>
  <c r="I553" i="2"/>
  <c r="E553" i="2"/>
  <c r="J553" i="2" s="1"/>
  <c r="I552" i="2"/>
  <c r="E552" i="2"/>
  <c r="J552" i="2" s="1"/>
  <c r="I551" i="2"/>
  <c r="E551" i="2"/>
  <c r="J551" i="2" s="1"/>
  <c r="I550" i="2"/>
  <c r="E550" i="2"/>
  <c r="J550" i="2" s="1"/>
  <c r="I549" i="2"/>
  <c r="E549" i="2"/>
  <c r="J549" i="2" s="1"/>
  <c r="I548" i="2"/>
  <c r="E548" i="2"/>
  <c r="J548" i="2" s="1"/>
  <c r="I547" i="2"/>
  <c r="E547" i="2"/>
  <c r="J547" i="2" s="1"/>
  <c r="I546" i="2"/>
  <c r="E546" i="2"/>
  <c r="J546" i="2" s="1"/>
  <c r="I545" i="2"/>
  <c r="I123" i="5" s="1"/>
  <c r="E545" i="2"/>
  <c r="E123" i="5" s="1"/>
  <c r="E123" i="6" s="1"/>
  <c r="I544" i="2"/>
  <c r="E544" i="2"/>
  <c r="J544" i="2" s="1"/>
  <c r="I543" i="2"/>
  <c r="E543" i="2"/>
  <c r="J543" i="2" s="1"/>
  <c r="I542" i="2"/>
  <c r="E542" i="2"/>
  <c r="J542" i="2" s="1"/>
  <c r="I541" i="2"/>
  <c r="E541" i="2"/>
  <c r="J541" i="2" s="1"/>
  <c r="I540" i="2"/>
  <c r="I122" i="5" s="1"/>
  <c r="E540" i="2"/>
  <c r="E122" i="5" s="1"/>
  <c r="E122" i="6" s="1"/>
  <c r="I539" i="2"/>
  <c r="I121" i="5" s="1"/>
  <c r="E539" i="2"/>
  <c r="E121" i="5" s="1"/>
  <c r="E121" i="6" s="1"/>
  <c r="I538" i="2"/>
  <c r="E538" i="2"/>
  <c r="J538" i="2" s="1"/>
  <c r="I537" i="2"/>
  <c r="E537" i="2"/>
  <c r="J537" i="2" s="1"/>
  <c r="I536" i="2"/>
  <c r="I120" i="5" s="1"/>
  <c r="E536" i="2"/>
  <c r="E120" i="5" s="1"/>
  <c r="E120" i="6" s="1"/>
  <c r="I535" i="2"/>
  <c r="E535" i="2"/>
  <c r="J535" i="2" s="1"/>
  <c r="I534" i="2"/>
  <c r="E534" i="2"/>
  <c r="E1149" i="2" s="1"/>
  <c r="I533" i="2"/>
  <c r="E533" i="2"/>
  <c r="J533" i="2" s="1"/>
  <c r="I532" i="2"/>
  <c r="E532" i="2"/>
  <c r="J532" i="2" s="1"/>
  <c r="I531" i="2"/>
  <c r="E531" i="2"/>
  <c r="J531" i="2" s="1"/>
  <c r="I530" i="2"/>
  <c r="E530" i="2"/>
  <c r="J530" i="2" s="1"/>
  <c r="I529" i="2"/>
  <c r="E529" i="2"/>
  <c r="I528" i="2"/>
  <c r="E528" i="2"/>
  <c r="J528" i="2" s="1"/>
  <c r="I527" i="2"/>
  <c r="E527" i="2"/>
  <c r="J527" i="2" s="1"/>
  <c r="I526" i="2"/>
  <c r="E526" i="2"/>
  <c r="J526" i="2" s="1"/>
  <c r="I525" i="2"/>
  <c r="E525" i="2"/>
  <c r="J525" i="2" s="1"/>
  <c r="I524" i="2"/>
  <c r="E524" i="2"/>
  <c r="J524" i="2" s="1"/>
  <c r="I523" i="2"/>
  <c r="E523" i="2"/>
  <c r="J523" i="2" s="1"/>
  <c r="I522" i="2"/>
  <c r="I117" i="5" s="1"/>
  <c r="E522" i="2"/>
  <c r="E117" i="5" s="1"/>
  <c r="E117" i="6" s="1"/>
  <c r="I521" i="2"/>
  <c r="E521" i="2"/>
  <c r="J521" i="2" s="1"/>
  <c r="I520" i="2"/>
  <c r="E520" i="2"/>
  <c r="J520" i="2" s="1"/>
  <c r="I519" i="2"/>
  <c r="E519" i="2"/>
  <c r="J519" i="2" s="1"/>
  <c r="I518" i="2"/>
  <c r="E518" i="2"/>
  <c r="J518" i="2" s="1"/>
  <c r="I517" i="2"/>
  <c r="E517" i="2"/>
  <c r="J517" i="2" s="1"/>
  <c r="I516" i="2"/>
  <c r="E516" i="2"/>
  <c r="J516" i="2" s="1"/>
  <c r="I515" i="2"/>
  <c r="E515" i="2"/>
  <c r="J515" i="2" s="1"/>
  <c r="I514" i="2"/>
  <c r="E514" i="2"/>
  <c r="J514" i="2" s="1"/>
  <c r="I513" i="2"/>
  <c r="I116" i="5" s="1"/>
  <c r="E513" i="2"/>
  <c r="E116" i="5" s="1"/>
  <c r="E116" i="6" s="1"/>
  <c r="I512" i="2"/>
  <c r="E512" i="2"/>
  <c r="J512" i="2" s="1"/>
  <c r="I511" i="2"/>
  <c r="E511" i="2"/>
  <c r="J511" i="2" s="1"/>
  <c r="I510" i="2"/>
  <c r="E510" i="2"/>
  <c r="J510" i="2" s="1"/>
  <c r="I509" i="2"/>
  <c r="E509" i="2"/>
  <c r="J509" i="2" s="1"/>
  <c r="I508" i="2"/>
  <c r="E508" i="2"/>
  <c r="J508" i="2" s="1"/>
  <c r="I507" i="2"/>
  <c r="E507" i="2"/>
  <c r="J507" i="2" s="1"/>
  <c r="I506" i="2"/>
  <c r="E506" i="2"/>
  <c r="J506" i="2" s="1"/>
  <c r="I505" i="2"/>
  <c r="I115" i="5" s="1"/>
  <c r="E505" i="2"/>
  <c r="E115" i="5" s="1"/>
  <c r="E115" i="6" s="1"/>
  <c r="I504" i="2"/>
  <c r="E504" i="2"/>
  <c r="J504" i="2" s="1"/>
  <c r="I503" i="2"/>
  <c r="E503" i="2"/>
  <c r="J503" i="2" s="1"/>
  <c r="I502" i="2"/>
  <c r="I114" i="5" s="1"/>
  <c r="E502" i="2"/>
  <c r="E114" i="5" s="1"/>
  <c r="E114" i="6" s="1"/>
  <c r="I501" i="2"/>
  <c r="E501" i="2"/>
  <c r="J501" i="2" s="1"/>
  <c r="I500" i="2"/>
  <c r="E500" i="2"/>
  <c r="J500" i="2" s="1"/>
  <c r="I499" i="2"/>
  <c r="E499" i="2"/>
  <c r="J499" i="2" s="1"/>
  <c r="I498" i="2"/>
  <c r="E498" i="2"/>
  <c r="J498" i="2" s="1"/>
  <c r="I497" i="2"/>
  <c r="E497" i="2"/>
  <c r="J497" i="2" s="1"/>
  <c r="I496" i="2"/>
  <c r="E496" i="2"/>
  <c r="J496" i="2" s="1"/>
  <c r="I495" i="2"/>
  <c r="E495" i="2"/>
  <c r="J495" i="2" s="1"/>
  <c r="I494" i="2"/>
  <c r="E494" i="2"/>
  <c r="J494" i="2" s="1"/>
  <c r="I493" i="2"/>
  <c r="E493" i="2"/>
  <c r="J493" i="2" s="1"/>
  <c r="I492" i="2"/>
  <c r="E492" i="2"/>
  <c r="J492" i="2" s="1"/>
  <c r="I491" i="2"/>
  <c r="I113" i="5" s="1"/>
  <c r="E491" i="2"/>
  <c r="E113" i="5" s="1"/>
  <c r="E113" i="6" s="1"/>
  <c r="I490" i="2"/>
  <c r="E490" i="2"/>
  <c r="J490" i="2" s="1"/>
  <c r="I489" i="2"/>
  <c r="I1226" i="2" s="1"/>
  <c r="E489" i="2"/>
  <c r="E1226" i="2" s="1"/>
  <c r="I488" i="2"/>
  <c r="I1225" i="2" s="1"/>
  <c r="E488" i="2"/>
  <c r="E1225" i="2" s="1"/>
  <c r="I487" i="2"/>
  <c r="I1224" i="2" s="1"/>
  <c r="E487" i="2"/>
  <c r="E1224" i="2" s="1"/>
  <c r="I486" i="2"/>
  <c r="I112" i="5" s="1"/>
  <c r="E486" i="2"/>
  <c r="E112" i="5" s="1"/>
  <c r="E112" i="6" s="1"/>
  <c r="I485" i="2"/>
  <c r="E485" i="2"/>
  <c r="I484" i="2"/>
  <c r="E484" i="2"/>
  <c r="J484" i="2" s="1"/>
  <c r="I483" i="2"/>
  <c r="E483" i="2"/>
  <c r="J483" i="2" s="1"/>
  <c r="I482" i="2"/>
  <c r="E482" i="2"/>
  <c r="E1166" i="2" s="1"/>
  <c r="I481" i="2"/>
  <c r="E481" i="2"/>
  <c r="J481" i="2" s="1"/>
  <c r="I480" i="2"/>
  <c r="E480" i="2"/>
  <c r="J480" i="2" s="1"/>
  <c r="I479" i="2"/>
  <c r="E479" i="2"/>
  <c r="J479" i="2" s="1"/>
  <c r="I478" i="2"/>
  <c r="E478" i="2"/>
  <c r="J478" i="2" s="1"/>
  <c r="I477" i="2"/>
  <c r="E477" i="2"/>
  <c r="J477" i="2" s="1"/>
  <c r="I476" i="2"/>
  <c r="E476" i="2"/>
  <c r="J476" i="2" s="1"/>
  <c r="I475" i="2"/>
  <c r="E475" i="2"/>
  <c r="J475" i="2" s="1"/>
  <c r="I474" i="2"/>
  <c r="E474" i="2"/>
  <c r="J474" i="2" s="1"/>
  <c r="I473" i="2"/>
  <c r="I109" i="5" s="1"/>
  <c r="E473" i="2"/>
  <c r="E109" i="5" s="1"/>
  <c r="E109" i="6" s="1"/>
  <c r="I472" i="2"/>
  <c r="E472" i="2"/>
  <c r="J472" i="2" s="1"/>
  <c r="I471" i="2"/>
  <c r="E471" i="2"/>
  <c r="J471" i="2" s="1"/>
  <c r="I470" i="2"/>
  <c r="E470" i="2"/>
  <c r="J470" i="2" s="1"/>
  <c r="I469" i="2"/>
  <c r="E469" i="2"/>
  <c r="J469" i="2" s="1"/>
  <c r="I468" i="2"/>
  <c r="E468" i="2"/>
  <c r="J468" i="2" s="1"/>
  <c r="I467" i="2"/>
  <c r="E467" i="2"/>
  <c r="J467" i="2" s="1"/>
  <c r="I466" i="2"/>
  <c r="I108" i="5" s="1"/>
  <c r="E466" i="2"/>
  <c r="E108" i="5" s="1"/>
  <c r="E108" i="6" s="1"/>
  <c r="I465" i="2"/>
  <c r="E465" i="2"/>
  <c r="J465" i="2" s="1"/>
  <c r="I464" i="2"/>
  <c r="E464" i="2"/>
  <c r="J464" i="2" s="1"/>
  <c r="I463" i="2"/>
  <c r="E463" i="2"/>
  <c r="J463" i="2" s="1"/>
  <c r="I462" i="2"/>
  <c r="E462" i="2"/>
  <c r="J462" i="2" s="1"/>
  <c r="I461" i="2"/>
  <c r="E461" i="2"/>
  <c r="J461" i="2" s="1"/>
  <c r="I460" i="2"/>
  <c r="E460" i="2"/>
  <c r="J460" i="2" s="1"/>
  <c r="I459" i="2"/>
  <c r="E459" i="2"/>
  <c r="J459" i="2" s="1"/>
  <c r="I458" i="2"/>
  <c r="I107" i="5" s="1"/>
  <c r="E458" i="2"/>
  <c r="E107" i="5" s="1"/>
  <c r="E107" i="6" s="1"/>
  <c r="I457" i="2"/>
  <c r="I106" i="5" s="1"/>
  <c r="E457" i="2"/>
  <c r="E106" i="5" s="1"/>
  <c r="E106" i="6" s="1"/>
  <c r="I456" i="2"/>
  <c r="I105" i="5" s="1"/>
  <c r="E456" i="2"/>
  <c r="E105" i="5" s="1"/>
  <c r="E105" i="6" s="1"/>
  <c r="I455" i="2"/>
  <c r="I104" i="5" s="1"/>
  <c r="E455" i="2"/>
  <c r="E104" i="5" s="1"/>
  <c r="E104" i="6" s="1"/>
  <c r="I454" i="2"/>
  <c r="I103" i="5" s="1"/>
  <c r="E454" i="2"/>
  <c r="E103" i="5" s="1"/>
  <c r="E103" i="6" s="1"/>
  <c r="I453" i="2"/>
  <c r="I102" i="5" s="1"/>
  <c r="E453" i="2"/>
  <c r="E102" i="5" s="1"/>
  <c r="E102" i="6" s="1"/>
  <c r="I452" i="2"/>
  <c r="I101" i="5" s="1"/>
  <c r="E452" i="2"/>
  <c r="E101" i="5" s="1"/>
  <c r="E101" i="6" s="1"/>
  <c r="I451" i="2"/>
  <c r="I100" i="5" s="1"/>
  <c r="E451" i="2"/>
  <c r="E100" i="5" s="1"/>
  <c r="E100" i="6" s="1"/>
  <c r="I450" i="2"/>
  <c r="E450" i="2"/>
  <c r="J450" i="2" s="1"/>
  <c r="I449" i="2"/>
  <c r="E449" i="2"/>
  <c r="J449" i="2" s="1"/>
  <c r="I448" i="2"/>
  <c r="E448" i="2"/>
  <c r="J448" i="2" s="1"/>
  <c r="I447" i="2"/>
  <c r="E447" i="2"/>
  <c r="J447" i="2" s="1"/>
  <c r="I446" i="2"/>
  <c r="I99" i="5" s="1"/>
  <c r="E446" i="2"/>
  <c r="E99" i="5" s="1"/>
  <c r="E99" i="6" s="1"/>
  <c r="I445" i="2"/>
  <c r="I98" i="5" s="1"/>
  <c r="E445" i="2"/>
  <c r="E98" i="5" s="1"/>
  <c r="E98" i="6" s="1"/>
  <c r="I444" i="2"/>
  <c r="E444" i="2"/>
  <c r="J444" i="2" s="1"/>
  <c r="I443" i="2"/>
  <c r="E443" i="2"/>
  <c r="J443" i="2" s="1"/>
  <c r="I442" i="2"/>
  <c r="E442" i="2"/>
  <c r="J442" i="2" s="1"/>
  <c r="I441" i="2"/>
  <c r="E441" i="2"/>
  <c r="J441" i="2" s="1"/>
  <c r="I440" i="2"/>
  <c r="E440" i="2"/>
  <c r="J440" i="2" s="1"/>
  <c r="I439" i="2"/>
  <c r="E439" i="2"/>
  <c r="J439" i="2" s="1"/>
  <c r="I438" i="2"/>
  <c r="E438" i="2"/>
  <c r="J438" i="2" s="1"/>
  <c r="I437" i="2"/>
  <c r="E437" i="2"/>
  <c r="J437" i="2" s="1"/>
  <c r="I436" i="2"/>
  <c r="I97" i="5" s="1"/>
  <c r="E436" i="2"/>
  <c r="E97" i="5" s="1"/>
  <c r="E97" i="6" s="1"/>
  <c r="I435" i="2"/>
  <c r="E435" i="2"/>
  <c r="J435" i="2" s="1"/>
  <c r="I434" i="2"/>
  <c r="E434" i="2"/>
  <c r="J434" i="2" s="1"/>
  <c r="I433" i="2"/>
  <c r="E433" i="2"/>
  <c r="J433" i="2" s="1"/>
  <c r="I432" i="2"/>
  <c r="E432" i="2"/>
  <c r="J432" i="2" s="1"/>
  <c r="I431" i="2"/>
  <c r="I96" i="5" s="1"/>
  <c r="E431" i="2"/>
  <c r="E96" i="5" s="1"/>
  <c r="E96" i="6" s="1"/>
  <c r="I430" i="2"/>
  <c r="E430" i="2"/>
  <c r="J430" i="2" s="1"/>
  <c r="I429" i="2"/>
  <c r="E429" i="2"/>
  <c r="J429" i="2" s="1"/>
  <c r="I428" i="2"/>
  <c r="I95" i="5" s="1"/>
  <c r="E428" i="2"/>
  <c r="E95" i="5" s="1"/>
  <c r="E95" i="6" s="1"/>
  <c r="I427" i="2"/>
  <c r="E427" i="2"/>
  <c r="I426" i="2"/>
  <c r="E426" i="2"/>
  <c r="J426" i="2" s="1"/>
  <c r="I425" i="2"/>
  <c r="E425" i="2"/>
  <c r="J425" i="2" s="1"/>
  <c r="I424" i="2"/>
  <c r="E424" i="2"/>
  <c r="I423" i="2"/>
  <c r="E423" i="2"/>
  <c r="I422" i="2"/>
  <c r="E422" i="2"/>
  <c r="I421" i="2"/>
  <c r="E421" i="2"/>
  <c r="I420" i="2"/>
  <c r="E420" i="2"/>
  <c r="I419" i="2"/>
  <c r="E419" i="2"/>
  <c r="I418" i="2"/>
  <c r="E418" i="2"/>
  <c r="I417" i="2"/>
  <c r="E417" i="2"/>
  <c r="I416" i="2"/>
  <c r="E416" i="2"/>
  <c r="I415" i="2"/>
  <c r="E415" i="2"/>
  <c r="I414" i="2"/>
  <c r="E414" i="2"/>
  <c r="I413" i="2"/>
  <c r="E413" i="2"/>
  <c r="J413" i="2" s="1"/>
  <c r="I412" i="2"/>
  <c r="E412" i="2"/>
  <c r="J412" i="2" s="1"/>
  <c r="I411" i="2"/>
  <c r="E411" i="2"/>
  <c r="J411" i="2" s="1"/>
  <c r="I410" i="2"/>
  <c r="E410" i="2"/>
  <c r="J410" i="2" s="1"/>
  <c r="I409" i="2"/>
  <c r="E409" i="2"/>
  <c r="J409" i="2" s="1"/>
  <c r="I408" i="2"/>
  <c r="E408" i="2"/>
  <c r="I407" i="2"/>
  <c r="E407" i="2"/>
  <c r="J407" i="2" s="1"/>
  <c r="I406" i="2"/>
  <c r="E406" i="2"/>
  <c r="J406" i="2" s="1"/>
  <c r="I405" i="2"/>
  <c r="E405" i="2"/>
  <c r="J405" i="2" s="1"/>
  <c r="I404" i="2"/>
  <c r="E404" i="2"/>
  <c r="J404" i="2" s="1"/>
  <c r="I403" i="2"/>
  <c r="E403" i="2"/>
  <c r="J403" i="2" s="1"/>
  <c r="I402" i="2"/>
  <c r="E402" i="2"/>
  <c r="I401" i="2"/>
  <c r="E401" i="2"/>
  <c r="J401" i="2" s="1"/>
  <c r="I400" i="2"/>
  <c r="E400" i="2"/>
  <c r="J400" i="2" s="1"/>
  <c r="I399" i="2"/>
  <c r="E399" i="2"/>
  <c r="J399" i="2" s="1"/>
  <c r="I398" i="2"/>
  <c r="E398" i="2"/>
  <c r="J398" i="2" s="1"/>
  <c r="I397" i="2"/>
  <c r="E397" i="2"/>
  <c r="J397" i="2" s="1"/>
  <c r="I396" i="2"/>
  <c r="E396" i="2"/>
  <c r="I395" i="2"/>
  <c r="E395" i="2"/>
  <c r="J395" i="2" s="1"/>
  <c r="I394" i="2"/>
  <c r="E394" i="2"/>
  <c r="J394" i="2" s="1"/>
  <c r="I393" i="2"/>
  <c r="E393" i="2"/>
  <c r="J393" i="2" s="1"/>
  <c r="I392" i="2"/>
  <c r="E392" i="2"/>
  <c r="J392" i="2" s="1"/>
  <c r="I391" i="2"/>
  <c r="E391" i="2"/>
  <c r="J391" i="2" s="1"/>
  <c r="I390" i="2"/>
  <c r="E390" i="2"/>
  <c r="J390" i="2" s="1"/>
  <c r="I389" i="2"/>
  <c r="E389" i="2"/>
  <c r="I388" i="2"/>
  <c r="E388" i="2"/>
  <c r="J388" i="2" s="1"/>
  <c r="I387" i="2"/>
  <c r="E387" i="2"/>
  <c r="J387" i="2" s="1"/>
  <c r="I386" i="2"/>
  <c r="E386" i="2"/>
  <c r="J386" i="2" s="1"/>
  <c r="I385" i="2"/>
  <c r="E385" i="2"/>
  <c r="J385" i="2" s="1"/>
  <c r="I384" i="2"/>
  <c r="E384" i="2"/>
  <c r="J384" i="2" s="1"/>
  <c r="I383" i="2"/>
  <c r="E383" i="2"/>
  <c r="I382" i="2"/>
  <c r="E382" i="2"/>
  <c r="J382" i="2" s="1"/>
  <c r="I381" i="2"/>
  <c r="E381" i="2"/>
  <c r="J381" i="2" s="1"/>
  <c r="I380" i="2"/>
  <c r="E380" i="2"/>
  <c r="J380" i="2" s="1"/>
  <c r="I379" i="2"/>
  <c r="E379" i="2"/>
  <c r="J379" i="2" s="1"/>
  <c r="I378" i="2"/>
  <c r="E378" i="2"/>
  <c r="J378" i="2" s="1"/>
  <c r="I377" i="2"/>
  <c r="E377" i="2"/>
  <c r="I376" i="2"/>
  <c r="E376" i="2"/>
  <c r="J376" i="2" s="1"/>
  <c r="I375" i="2"/>
  <c r="E375" i="2"/>
  <c r="J375" i="2" s="1"/>
  <c r="I374" i="2"/>
  <c r="E374" i="2"/>
  <c r="J374" i="2" s="1"/>
  <c r="I373" i="2"/>
  <c r="E373" i="2"/>
  <c r="J373" i="2" s="1"/>
  <c r="I372" i="2"/>
  <c r="E372" i="2"/>
  <c r="J372" i="2" s="1"/>
  <c r="I371" i="2"/>
  <c r="E371" i="2"/>
  <c r="I370" i="2"/>
  <c r="E370" i="2"/>
  <c r="J370" i="2" s="1"/>
  <c r="I369" i="2"/>
  <c r="E369" i="2"/>
  <c r="J369" i="2" s="1"/>
  <c r="I368" i="2"/>
  <c r="E368" i="2"/>
  <c r="J368" i="2" s="1"/>
  <c r="I367" i="2"/>
  <c r="E367" i="2"/>
  <c r="J367" i="2" s="1"/>
  <c r="I366" i="2"/>
  <c r="E366" i="2"/>
  <c r="J366" i="2" s="1"/>
  <c r="I365" i="2"/>
  <c r="E365" i="2"/>
  <c r="I364" i="2"/>
  <c r="E364" i="2"/>
  <c r="J364" i="2" s="1"/>
  <c r="I363" i="2"/>
  <c r="E363" i="2"/>
  <c r="J363" i="2" s="1"/>
  <c r="I362" i="2"/>
  <c r="E362" i="2"/>
  <c r="J362" i="2" s="1"/>
  <c r="I361" i="2"/>
  <c r="E361" i="2"/>
  <c r="J361" i="2" s="1"/>
  <c r="I360" i="2"/>
  <c r="E360" i="2"/>
  <c r="J360" i="2" s="1"/>
  <c r="I359" i="2"/>
  <c r="E359" i="2"/>
  <c r="I358" i="2"/>
  <c r="E358" i="2"/>
  <c r="J358" i="2" s="1"/>
  <c r="I357" i="2"/>
  <c r="E357" i="2"/>
  <c r="J357" i="2" s="1"/>
  <c r="I356" i="2"/>
  <c r="E356" i="2"/>
  <c r="J356" i="2" s="1"/>
  <c r="I355" i="2"/>
  <c r="E355" i="2"/>
  <c r="J355" i="2" s="1"/>
  <c r="I354" i="2"/>
  <c r="E354" i="2"/>
  <c r="J354" i="2" s="1"/>
  <c r="I353" i="2"/>
  <c r="E353" i="2"/>
  <c r="J353" i="2" s="1"/>
  <c r="I352" i="2"/>
  <c r="E352" i="2"/>
  <c r="I351" i="2"/>
  <c r="E351" i="2"/>
  <c r="J351" i="2" s="1"/>
  <c r="I350" i="2"/>
  <c r="E350" i="2"/>
  <c r="J350" i="2" s="1"/>
  <c r="I349" i="2"/>
  <c r="E349" i="2"/>
  <c r="J349" i="2" s="1"/>
  <c r="I348" i="2"/>
  <c r="E348" i="2"/>
  <c r="J348" i="2" s="1"/>
  <c r="I347" i="2"/>
  <c r="E347" i="2"/>
  <c r="J347" i="2" s="1"/>
  <c r="I346" i="2"/>
  <c r="E346" i="2"/>
  <c r="I345" i="2"/>
  <c r="E345" i="2"/>
  <c r="J345" i="2" s="1"/>
  <c r="I344" i="2"/>
  <c r="E344" i="2"/>
  <c r="J344" i="2" s="1"/>
  <c r="I343" i="2"/>
  <c r="E343" i="2"/>
  <c r="J343" i="2" s="1"/>
  <c r="I342" i="2"/>
  <c r="E342" i="2"/>
  <c r="J342" i="2" s="1"/>
  <c r="I341" i="2"/>
  <c r="E341" i="2"/>
  <c r="J341" i="2" s="1"/>
  <c r="I340" i="2"/>
  <c r="E340" i="2"/>
  <c r="I339" i="2"/>
  <c r="I133" i="15" s="1"/>
  <c r="E339" i="2"/>
  <c r="E133" i="15" s="1"/>
  <c r="I338" i="2"/>
  <c r="I132" i="15" s="1"/>
  <c r="E338" i="2"/>
  <c r="E132" i="15" s="1"/>
  <c r="I337" i="2"/>
  <c r="I131" i="15" s="1"/>
  <c r="E337" i="2"/>
  <c r="E131" i="15" s="1"/>
  <c r="I336" i="2"/>
  <c r="I130" i="15" s="1"/>
  <c r="E336" i="2"/>
  <c r="E130" i="15" s="1"/>
  <c r="I335" i="2"/>
  <c r="I129" i="15" s="1"/>
  <c r="I128" i="15" s="1"/>
  <c r="E335" i="2"/>
  <c r="E129" i="15" s="1"/>
  <c r="I334" i="2"/>
  <c r="E334" i="2"/>
  <c r="I333" i="2"/>
  <c r="I112" i="15" s="1"/>
  <c r="E333" i="2"/>
  <c r="E112" i="15" s="1"/>
  <c r="I332" i="2"/>
  <c r="I111" i="15" s="1"/>
  <c r="E332" i="2"/>
  <c r="E111" i="15" s="1"/>
  <c r="I331" i="2"/>
  <c r="I110" i="15" s="1"/>
  <c r="E331" i="2"/>
  <c r="E110" i="15" s="1"/>
  <c r="I330" i="2"/>
  <c r="I109" i="15" s="1"/>
  <c r="E330" i="2"/>
  <c r="E109" i="15" s="1"/>
  <c r="I329" i="2"/>
  <c r="I108" i="15" s="1"/>
  <c r="I107" i="15" s="1"/>
  <c r="E329" i="2"/>
  <c r="E108" i="15" s="1"/>
  <c r="I328" i="2"/>
  <c r="E328" i="2"/>
  <c r="I327" i="2"/>
  <c r="I91" i="15" s="1"/>
  <c r="E327" i="2"/>
  <c r="E91" i="15" s="1"/>
  <c r="I326" i="2"/>
  <c r="I90" i="15" s="1"/>
  <c r="E326" i="2"/>
  <c r="E90" i="15" s="1"/>
  <c r="I325" i="2"/>
  <c r="I89" i="15" s="1"/>
  <c r="E325" i="2"/>
  <c r="E89" i="15" s="1"/>
  <c r="I324" i="2"/>
  <c r="I88" i="15" s="1"/>
  <c r="E324" i="2"/>
  <c r="E88" i="15" s="1"/>
  <c r="I323" i="2"/>
  <c r="I87" i="15" s="1"/>
  <c r="I86" i="15" s="1"/>
  <c r="E323" i="2"/>
  <c r="E87" i="15" s="1"/>
  <c r="I322" i="2"/>
  <c r="E322" i="2"/>
  <c r="I321" i="2"/>
  <c r="I70" i="15" s="1"/>
  <c r="E321" i="2"/>
  <c r="E70" i="15" s="1"/>
  <c r="I320" i="2"/>
  <c r="I69" i="15" s="1"/>
  <c r="E320" i="2"/>
  <c r="E69" i="15" s="1"/>
  <c r="I319" i="2"/>
  <c r="I68" i="15" s="1"/>
  <c r="E319" i="2"/>
  <c r="E68" i="15" s="1"/>
  <c r="I318" i="2"/>
  <c r="I67" i="15" s="1"/>
  <c r="E318" i="2"/>
  <c r="E67" i="15" s="1"/>
  <c r="I317" i="2"/>
  <c r="I66" i="15" s="1"/>
  <c r="E317" i="2"/>
  <c r="E66" i="15" s="1"/>
  <c r="I316" i="2"/>
  <c r="I65" i="15" s="1"/>
  <c r="E316" i="2"/>
  <c r="E65" i="15" s="1"/>
  <c r="E64" i="15" s="1"/>
  <c r="I315" i="2"/>
  <c r="E315" i="2"/>
  <c r="I314" i="2"/>
  <c r="I48" i="15" s="1"/>
  <c r="E314" i="2"/>
  <c r="E48" i="15" s="1"/>
  <c r="I313" i="2"/>
  <c r="I47" i="15" s="1"/>
  <c r="E313" i="2"/>
  <c r="E47" i="15" s="1"/>
  <c r="I312" i="2"/>
  <c r="I46" i="15" s="1"/>
  <c r="E312" i="2"/>
  <c r="E46" i="15" s="1"/>
  <c r="I311" i="2"/>
  <c r="I45" i="15" s="1"/>
  <c r="E311" i="2"/>
  <c r="E45" i="15" s="1"/>
  <c r="I310" i="2"/>
  <c r="I44" i="15" s="1"/>
  <c r="E310" i="2"/>
  <c r="E44" i="15" s="1"/>
  <c r="E43" i="15" s="1"/>
  <c r="I309" i="2"/>
  <c r="E309" i="2"/>
  <c r="I308" i="2"/>
  <c r="I27" i="15" s="1"/>
  <c r="E308" i="2"/>
  <c r="E27" i="15" s="1"/>
  <c r="I307" i="2"/>
  <c r="I26" i="15" s="1"/>
  <c r="E307" i="2"/>
  <c r="E26" i="15" s="1"/>
  <c r="I306" i="2"/>
  <c r="I25" i="15" s="1"/>
  <c r="E306" i="2"/>
  <c r="E25" i="15" s="1"/>
  <c r="I305" i="2"/>
  <c r="I24" i="15" s="1"/>
  <c r="E305" i="2"/>
  <c r="E24" i="15" s="1"/>
  <c r="I304" i="2"/>
  <c r="I23" i="15" s="1"/>
  <c r="E304" i="2"/>
  <c r="E23" i="15" s="1"/>
  <c r="E22" i="15" s="1"/>
  <c r="I303" i="2"/>
  <c r="I1141" i="2" s="1"/>
  <c r="E303" i="2"/>
  <c r="I302" i="2"/>
  <c r="E302" i="2"/>
  <c r="J302" i="2" s="1"/>
  <c r="I301" i="2"/>
  <c r="E301" i="2"/>
  <c r="J301" i="2" s="1"/>
  <c r="I300" i="2"/>
  <c r="E300" i="2"/>
  <c r="J300" i="2" s="1"/>
  <c r="I299" i="2"/>
  <c r="E299" i="2"/>
  <c r="J299" i="2" s="1"/>
  <c r="I298" i="2"/>
  <c r="E298" i="2"/>
  <c r="J298" i="2" s="1"/>
  <c r="I297" i="2"/>
  <c r="E297" i="2"/>
  <c r="I296" i="2"/>
  <c r="E296" i="2"/>
  <c r="J296" i="2" s="1"/>
  <c r="I295" i="2"/>
  <c r="E295" i="2"/>
  <c r="J295" i="2" s="1"/>
  <c r="I294" i="2"/>
  <c r="E294" i="2"/>
  <c r="J294" i="2" s="1"/>
  <c r="I293" i="2"/>
  <c r="E293" i="2"/>
  <c r="J293" i="2" s="1"/>
  <c r="I292" i="2"/>
  <c r="E292" i="2"/>
  <c r="J292" i="2" s="1"/>
  <c r="I291" i="2"/>
  <c r="E291" i="2"/>
  <c r="I290" i="2"/>
  <c r="E290" i="2"/>
  <c r="J290" i="2" s="1"/>
  <c r="I289" i="2"/>
  <c r="E289" i="2"/>
  <c r="J289" i="2" s="1"/>
  <c r="I288" i="2"/>
  <c r="E288" i="2"/>
  <c r="J288" i="2" s="1"/>
  <c r="I287" i="2"/>
  <c r="E287" i="2"/>
  <c r="J287" i="2" s="1"/>
  <c r="I286" i="2"/>
  <c r="E286" i="2"/>
  <c r="J286" i="2" s="1"/>
  <c r="I285" i="2"/>
  <c r="E285" i="2"/>
  <c r="I284" i="2"/>
  <c r="E284" i="2"/>
  <c r="J284" i="2" s="1"/>
  <c r="I283" i="2"/>
  <c r="E283" i="2"/>
  <c r="J283" i="2" s="1"/>
  <c r="I282" i="2"/>
  <c r="E282" i="2"/>
  <c r="J282" i="2" s="1"/>
  <c r="I281" i="2"/>
  <c r="E281" i="2"/>
  <c r="J281" i="2" s="1"/>
  <c r="I280" i="2"/>
  <c r="E280" i="2"/>
  <c r="J280" i="2" s="1"/>
  <c r="I279" i="2"/>
  <c r="E279" i="2"/>
  <c r="I278" i="2"/>
  <c r="E278" i="2"/>
  <c r="J278" i="2" s="1"/>
  <c r="I277" i="2"/>
  <c r="E277" i="2"/>
  <c r="J277" i="2" s="1"/>
  <c r="I276" i="2"/>
  <c r="E276" i="2"/>
  <c r="J276" i="2" s="1"/>
  <c r="I275" i="2"/>
  <c r="E275" i="2"/>
  <c r="J275" i="2" s="1"/>
  <c r="I274" i="2"/>
  <c r="E274" i="2"/>
  <c r="J274" i="2" s="1"/>
  <c r="I273" i="2"/>
  <c r="E273" i="2"/>
  <c r="I272" i="2"/>
  <c r="E272" i="2"/>
  <c r="J272" i="2" s="1"/>
  <c r="I271" i="2"/>
  <c r="E271" i="2"/>
  <c r="J271" i="2" s="1"/>
  <c r="I270" i="2"/>
  <c r="E270" i="2"/>
  <c r="J270" i="2" s="1"/>
  <c r="I269" i="2"/>
  <c r="E269" i="2"/>
  <c r="J269" i="2" s="1"/>
  <c r="I268" i="2"/>
  <c r="E268" i="2"/>
  <c r="J268" i="2" s="1"/>
  <c r="I267" i="2"/>
  <c r="E267" i="2"/>
  <c r="I266" i="2"/>
  <c r="E266" i="2"/>
  <c r="J266" i="2" s="1"/>
  <c r="I265" i="2"/>
  <c r="E265" i="2"/>
  <c r="J265" i="2" s="1"/>
  <c r="I264" i="2"/>
  <c r="E264" i="2"/>
  <c r="J264" i="2" s="1"/>
  <c r="I263" i="2"/>
  <c r="E263" i="2"/>
  <c r="J263" i="2" s="1"/>
  <c r="I262" i="2"/>
  <c r="E262" i="2"/>
  <c r="J262" i="2" s="1"/>
  <c r="I261" i="2"/>
  <c r="E261" i="2"/>
  <c r="I260" i="2"/>
  <c r="E260" i="2"/>
  <c r="J260" i="2" s="1"/>
  <c r="I259" i="2"/>
  <c r="E259" i="2"/>
  <c r="J259" i="2" s="1"/>
  <c r="I258" i="2"/>
  <c r="E258" i="2"/>
  <c r="J258" i="2" s="1"/>
  <c r="I257" i="2"/>
  <c r="E257" i="2"/>
  <c r="J257" i="2" s="1"/>
  <c r="I256" i="2"/>
  <c r="E256" i="2"/>
  <c r="J256" i="2" s="1"/>
  <c r="I255" i="2"/>
  <c r="E255" i="2"/>
  <c r="I254" i="2"/>
  <c r="E254" i="2"/>
  <c r="J254" i="2" s="1"/>
  <c r="I253" i="2"/>
  <c r="E253" i="2"/>
  <c r="J253" i="2" s="1"/>
  <c r="I252" i="2"/>
  <c r="E252" i="2"/>
  <c r="J252" i="2" s="1"/>
  <c r="I251" i="2"/>
  <c r="E251" i="2"/>
  <c r="J251" i="2" s="1"/>
  <c r="I250" i="2"/>
  <c r="E250" i="2"/>
  <c r="J250" i="2" s="1"/>
  <c r="I249" i="2"/>
  <c r="E249" i="2"/>
  <c r="I248" i="2"/>
  <c r="E248" i="2"/>
  <c r="J248" i="2" s="1"/>
  <c r="I247" i="2"/>
  <c r="E247" i="2"/>
  <c r="J247" i="2" s="1"/>
  <c r="I246" i="2"/>
  <c r="E246" i="2"/>
  <c r="J246" i="2" s="1"/>
  <c r="I245" i="2"/>
  <c r="E245" i="2"/>
  <c r="J245" i="2" s="1"/>
  <c r="I244" i="2"/>
  <c r="E244" i="2"/>
  <c r="J244" i="2" s="1"/>
  <c r="I243" i="2"/>
  <c r="E243" i="2"/>
  <c r="I242" i="2"/>
  <c r="E242" i="2"/>
  <c r="J242" i="2" s="1"/>
  <c r="I241" i="2"/>
  <c r="E241" i="2"/>
  <c r="J241" i="2" s="1"/>
  <c r="I240" i="2"/>
  <c r="E240" i="2"/>
  <c r="J240" i="2" s="1"/>
  <c r="I239" i="2"/>
  <c r="E239" i="2"/>
  <c r="J239" i="2" s="1"/>
  <c r="I238" i="2"/>
  <c r="E238" i="2"/>
  <c r="J238" i="2" s="1"/>
  <c r="I237" i="2"/>
  <c r="E237" i="2"/>
  <c r="I236" i="2"/>
  <c r="E236" i="2"/>
  <c r="J236" i="2" s="1"/>
  <c r="I235" i="2"/>
  <c r="E235" i="2"/>
  <c r="J235" i="2" s="1"/>
  <c r="I234" i="2"/>
  <c r="E234" i="2"/>
  <c r="J234" i="2" s="1"/>
  <c r="I233" i="2"/>
  <c r="E233" i="2"/>
  <c r="J233" i="2" s="1"/>
  <c r="I232" i="2"/>
  <c r="E232" i="2"/>
  <c r="J232" i="2" s="1"/>
  <c r="I231" i="2"/>
  <c r="E231" i="2"/>
  <c r="I230" i="2"/>
  <c r="I126" i="15" s="1"/>
  <c r="E230" i="2"/>
  <c r="E126" i="15" s="1"/>
  <c r="I229" i="2"/>
  <c r="I125" i="15" s="1"/>
  <c r="E229" i="2"/>
  <c r="E125" i="15" s="1"/>
  <c r="I228" i="2"/>
  <c r="I124" i="15" s="1"/>
  <c r="E228" i="2"/>
  <c r="E124" i="15" s="1"/>
  <c r="I227" i="2"/>
  <c r="I123" i="15" s="1"/>
  <c r="E227" i="2"/>
  <c r="E123" i="15" s="1"/>
  <c r="I226" i="2"/>
  <c r="I122" i="15" s="1"/>
  <c r="E226" i="2"/>
  <c r="E122" i="15" s="1"/>
  <c r="E121" i="15" s="1"/>
  <c r="I225" i="2"/>
  <c r="E225" i="2"/>
  <c r="I224" i="2"/>
  <c r="I105" i="15" s="1"/>
  <c r="E224" i="2"/>
  <c r="E105" i="15" s="1"/>
  <c r="I223" i="2"/>
  <c r="I104" i="15" s="1"/>
  <c r="E223" i="2"/>
  <c r="E104" i="15" s="1"/>
  <c r="I222" i="2"/>
  <c r="I103" i="15" s="1"/>
  <c r="E222" i="2"/>
  <c r="E103" i="15" s="1"/>
  <c r="I221" i="2"/>
  <c r="I102" i="15" s="1"/>
  <c r="E221" i="2"/>
  <c r="E102" i="15" s="1"/>
  <c r="I220" i="2"/>
  <c r="I101" i="15" s="1"/>
  <c r="E220" i="2"/>
  <c r="E101" i="15" s="1"/>
  <c r="E100" i="15" s="1"/>
  <c r="I219" i="2"/>
  <c r="E219" i="2"/>
  <c r="I218" i="2"/>
  <c r="I84" i="15" s="1"/>
  <c r="E218" i="2"/>
  <c r="E84" i="15" s="1"/>
  <c r="I217" i="2"/>
  <c r="I83" i="15" s="1"/>
  <c r="E217" i="2"/>
  <c r="E83" i="15" s="1"/>
  <c r="I216" i="2"/>
  <c r="I82" i="15" s="1"/>
  <c r="E216" i="2"/>
  <c r="E82" i="15" s="1"/>
  <c r="I215" i="2"/>
  <c r="I81" i="15" s="1"/>
  <c r="E215" i="2"/>
  <c r="E81" i="15" s="1"/>
  <c r="I214" i="2"/>
  <c r="I80" i="15" s="1"/>
  <c r="E214" i="2"/>
  <c r="E80" i="15" s="1"/>
  <c r="E79" i="15" s="1"/>
  <c r="I213" i="2"/>
  <c r="E213" i="2"/>
  <c r="I212" i="2"/>
  <c r="I62" i="15" s="1"/>
  <c r="E212" i="2"/>
  <c r="E62" i="15" s="1"/>
  <c r="I211" i="2"/>
  <c r="I61" i="15" s="1"/>
  <c r="E211" i="2"/>
  <c r="E61" i="15" s="1"/>
  <c r="I210" i="2"/>
  <c r="I60" i="15" s="1"/>
  <c r="E210" i="2"/>
  <c r="E60" i="15" s="1"/>
  <c r="I209" i="2"/>
  <c r="I59" i="15" s="1"/>
  <c r="E209" i="2"/>
  <c r="E59" i="15" s="1"/>
  <c r="I208" i="2"/>
  <c r="I58" i="15" s="1"/>
  <c r="E208" i="2"/>
  <c r="E58" i="15" s="1"/>
  <c r="E57" i="15" s="1"/>
  <c r="I207" i="2"/>
  <c r="E207" i="2"/>
  <c r="I206" i="2"/>
  <c r="I41" i="15" s="1"/>
  <c r="E206" i="2"/>
  <c r="E41" i="15" s="1"/>
  <c r="I205" i="2"/>
  <c r="I40" i="15" s="1"/>
  <c r="E205" i="2"/>
  <c r="E40" i="15" s="1"/>
  <c r="I204" i="2"/>
  <c r="I39" i="15" s="1"/>
  <c r="E204" i="2"/>
  <c r="E39" i="15" s="1"/>
  <c r="I203" i="2"/>
  <c r="I38" i="15" s="1"/>
  <c r="E203" i="2"/>
  <c r="E38" i="15" s="1"/>
  <c r="I202" i="2"/>
  <c r="I37" i="15" s="1"/>
  <c r="E202" i="2"/>
  <c r="E37" i="15" s="1"/>
  <c r="E36" i="15" s="1"/>
  <c r="I201" i="2"/>
  <c r="E201" i="2"/>
  <c r="I200" i="2"/>
  <c r="I20" i="15" s="1"/>
  <c r="E200" i="2"/>
  <c r="E20" i="15" s="1"/>
  <c r="I199" i="2"/>
  <c r="I19" i="15" s="1"/>
  <c r="E199" i="2"/>
  <c r="E19" i="15" s="1"/>
  <c r="I198" i="2"/>
  <c r="I18" i="15" s="1"/>
  <c r="E198" i="2"/>
  <c r="E18" i="15" s="1"/>
  <c r="I197" i="2"/>
  <c r="I17" i="15" s="1"/>
  <c r="E197" i="2"/>
  <c r="E17" i="15" s="1"/>
  <c r="I196" i="2"/>
  <c r="I16" i="15" s="1"/>
  <c r="E196" i="2"/>
  <c r="E16" i="15" s="1"/>
  <c r="E15" i="15" s="1"/>
  <c r="I195" i="2"/>
  <c r="E195" i="2"/>
  <c r="I194" i="2"/>
  <c r="E194" i="2"/>
  <c r="J194" i="2" s="1"/>
  <c r="I193" i="2"/>
  <c r="E193" i="2"/>
  <c r="J193" i="2" s="1"/>
  <c r="I192" i="2"/>
  <c r="E192" i="2"/>
  <c r="J192" i="2" s="1"/>
  <c r="I191" i="2"/>
  <c r="E191" i="2"/>
  <c r="J191" i="2" s="1"/>
  <c r="I190" i="2"/>
  <c r="E190" i="2"/>
  <c r="J190" i="2" s="1"/>
  <c r="I189" i="2"/>
  <c r="E189" i="2"/>
  <c r="I188" i="2"/>
  <c r="E188" i="2"/>
  <c r="J188" i="2" s="1"/>
  <c r="I187" i="2"/>
  <c r="E187" i="2"/>
  <c r="J187" i="2" s="1"/>
  <c r="I186" i="2"/>
  <c r="E186" i="2"/>
  <c r="J186" i="2" s="1"/>
  <c r="I185" i="2"/>
  <c r="E185" i="2"/>
  <c r="J185" i="2" s="1"/>
  <c r="I184" i="2"/>
  <c r="E184" i="2"/>
  <c r="J184" i="2" s="1"/>
  <c r="I183" i="2"/>
  <c r="E183" i="2"/>
  <c r="I182" i="2"/>
  <c r="E182" i="2"/>
  <c r="J182" i="2" s="1"/>
  <c r="I181" i="2"/>
  <c r="E181" i="2"/>
  <c r="J181" i="2" s="1"/>
  <c r="I180" i="2"/>
  <c r="E180" i="2"/>
  <c r="J180" i="2" s="1"/>
  <c r="I179" i="2"/>
  <c r="E179" i="2"/>
  <c r="J179" i="2" s="1"/>
  <c r="I178" i="2"/>
  <c r="E178" i="2"/>
  <c r="J178" i="2" s="1"/>
  <c r="I177" i="2"/>
  <c r="E177" i="2"/>
  <c r="I176" i="2"/>
  <c r="E176" i="2"/>
  <c r="J176" i="2" s="1"/>
  <c r="I175" i="2"/>
  <c r="E175" i="2"/>
  <c r="J175" i="2" s="1"/>
  <c r="I174" i="2"/>
  <c r="E174" i="2"/>
  <c r="J174" i="2" s="1"/>
  <c r="I173" i="2"/>
  <c r="E173" i="2"/>
  <c r="J173" i="2" s="1"/>
  <c r="I172" i="2"/>
  <c r="E172" i="2"/>
  <c r="J172" i="2" s="1"/>
  <c r="I171" i="2"/>
  <c r="E171" i="2"/>
  <c r="I170" i="2"/>
  <c r="E170" i="2"/>
  <c r="J170" i="2" s="1"/>
  <c r="I169" i="2"/>
  <c r="E169" i="2"/>
  <c r="J169" i="2" s="1"/>
  <c r="I168" i="2"/>
  <c r="E168" i="2"/>
  <c r="J168" i="2" s="1"/>
  <c r="I167" i="2"/>
  <c r="E167" i="2"/>
  <c r="J167" i="2" s="1"/>
  <c r="I166" i="2"/>
  <c r="E166" i="2"/>
  <c r="J166" i="2" s="1"/>
  <c r="I165" i="2"/>
  <c r="E165" i="2"/>
  <c r="I164" i="2"/>
  <c r="E164" i="2"/>
  <c r="J164" i="2" s="1"/>
  <c r="I163" i="2"/>
  <c r="E163" i="2"/>
  <c r="J163" i="2" s="1"/>
  <c r="I162" i="2"/>
  <c r="E162" i="2"/>
  <c r="J162" i="2" s="1"/>
  <c r="I161" i="2"/>
  <c r="E161" i="2"/>
  <c r="J161" i="2" s="1"/>
  <c r="I160" i="2"/>
  <c r="E160" i="2"/>
  <c r="J160" i="2" s="1"/>
  <c r="I159" i="2"/>
  <c r="E159" i="2"/>
  <c r="I158" i="2"/>
  <c r="E158" i="2"/>
  <c r="J158" i="2" s="1"/>
  <c r="I157" i="2"/>
  <c r="E157" i="2"/>
  <c r="J157" i="2" s="1"/>
  <c r="I156" i="2"/>
  <c r="E156" i="2"/>
  <c r="J156" i="2" s="1"/>
  <c r="I155" i="2"/>
  <c r="E155" i="2"/>
  <c r="J155" i="2" s="1"/>
  <c r="I154" i="2"/>
  <c r="E154" i="2"/>
  <c r="J154" i="2" s="1"/>
  <c r="I153" i="2"/>
  <c r="E153" i="2"/>
  <c r="I152" i="2"/>
  <c r="E152" i="2"/>
  <c r="J152" i="2" s="1"/>
  <c r="I151" i="2"/>
  <c r="E151" i="2"/>
  <c r="J151" i="2" s="1"/>
  <c r="I150" i="2"/>
  <c r="E150" i="2"/>
  <c r="J150" i="2" s="1"/>
  <c r="I149" i="2"/>
  <c r="E149" i="2"/>
  <c r="J149" i="2" s="1"/>
  <c r="I148" i="2"/>
  <c r="E148" i="2"/>
  <c r="J148" i="2" s="1"/>
  <c r="I147" i="2"/>
  <c r="E147" i="2"/>
  <c r="I146" i="2"/>
  <c r="E146" i="2"/>
  <c r="J146" i="2" s="1"/>
  <c r="I145" i="2"/>
  <c r="E145" i="2"/>
  <c r="J145" i="2" s="1"/>
  <c r="I144" i="2"/>
  <c r="E144" i="2"/>
  <c r="J144" i="2" s="1"/>
  <c r="I143" i="2"/>
  <c r="E143" i="2"/>
  <c r="J143" i="2" s="1"/>
  <c r="I142" i="2"/>
  <c r="E142" i="2"/>
  <c r="J142" i="2" s="1"/>
  <c r="I141" i="2"/>
  <c r="E141" i="2"/>
  <c r="I140" i="2"/>
  <c r="E140" i="2"/>
  <c r="J140" i="2" s="1"/>
  <c r="I139" i="2"/>
  <c r="E139" i="2"/>
  <c r="J139" i="2" s="1"/>
  <c r="I138" i="2"/>
  <c r="E138" i="2"/>
  <c r="J138" i="2" s="1"/>
  <c r="I137" i="2"/>
  <c r="E137" i="2"/>
  <c r="J137" i="2" s="1"/>
  <c r="I136" i="2"/>
  <c r="E136" i="2"/>
  <c r="J136" i="2" s="1"/>
  <c r="I135" i="2"/>
  <c r="E135" i="2"/>
  <c r="I134" i="2"/>
  <c r="E134" i="2"/>
  <c r="J134" i="2" s="1"/>
  <c r="I133" i="2"/>
  <c r="E133" i="2"/>
  <c r="J133" i="2" s="1"/>
  <c r="I132" i="2"/>
  <c r="E132" i="2"/>
  <c r="J132" i="2" s="1"/>
  <c r="I131" i="2"/>
  <c r="E131" i="2"/>
  <c r="J131" i="2" s="1"/>
  <c r="I130" i="2"/>
  <c r="E130" i="2"/>
  <c r="J130" i="2" s="1"/>
  <c r="I129" i="2"/>
  <c r="E129" i="2"/>
  <c r="I128" i="2"/>
  <c r="E128" i="2"/>
  <c r="J128" i="2" s="1"/>
  <c r="I127" i="2"/>
  <c r="E127" i="2"/>
  <c r="J127" i="2" s="1"/>
  <c r="I126" i="2"/>
  <c r="E126" i="2"/>
  <c r="J126" i="2" s="1"/>
  <c r="I125" i="2"/>
  <c r="E125" i="2"/>
  <c r="J125" i="2" s="1"/>
  <c r="I124" i="2"/>
  <c r="E124" i="2"/>
  <c r="J124" i="2" s="1"/>
  <c r="I123" i="2"/>
  <c r="E123" i="2"/>
  <c r="I122" i="2"/>
  <c r="I119" i="15" s="1"/>
  <c r="I177" i="15" s="1"/>
  <c r="E122" i="2"/>
  <c r="E119" i="15" s="1"/>
  <c r="E177" i="15" s="1"/>
  <c r="I121" i="2"/>
  <c r="I118" i="15" s="1"/>
  <c r="I176" i="15" s="1"/>
  <c r="E121" i="2"/>
  <c r="E118" i="15" s="1"/>
  <c r="E176" i="15" s="1"/>
  <c r="I120" i="2"/>
  <c r="E120" i="2"/>
  <c r="I119" i="2"/>
  <c r="E119" i="2"/>
  <c r="I118" i="2"/>
  <c r="E118" i="2"/>
  <c r="I117" i="2"/>
  <c r="E117" i="2"/>
  <c r="I116" i="2"/>
  <c r="I98" i="15" s="1"/>
  <c r="I170" i="15" s="1"/>
  <c r="E116" i="2"/>
  <c r="E98" i="15" s="1"/>
  <c r="E170" i="15" s="1"/>
  <c r="I115" i="2"/>
  <c r="I97" i="15" s="1"/>
  <c r="I169" i="15" s="1"/>
  <c r="E115" i="2"/>
  <c r="E97" i="15" s="1"/>
  <c r="E169" i="15" s="1"/>
  <c r="I114" i="2"/>
  <c r="I96" i="15" s="1"/>
  <c r="I168" i="15" s="1"/>
  <c r="E114" i="2"/>
  <c r="E96" i="15" s="1"/>
  <c r="E168" i="15" s="1"/>
  <c r="I113" i="2"/>
  <c r="I95" i="15" s="1"/>
  <c r="I167" i="15" s="1"/>
  <c r="E113" i="2"/>
  <c r="E95" i="15" s="1"/>
  <c r="E167" i="15" s="1"/>
  <c r="I112" i="2"/>
  <c r="I94" i="15" s="1"/>
  <c r="E112" i="2"/>
  <c r="E94" i="15" s="1"/>
  <c r="I111" i="2"/>
  <c r="E111" i="2"/>
  <c r="I110" i="2"/>
  <c r="I77" i="15" s="1"/>
  <c r="I163" i="15" s="1"/>
  <c r="E110" i="2"/>
  <c r="E77" i="15" s="1"/>
  <c r="E163" i="15" s="1"/>
  <c r="I109" i="2"/>
  <c r="I76" i="15" s="1"/>
  <c r="I162" i="15" s="1"/>
  <c r="E109" i="2"/>
  <c r="E76" i="15" s="1"/>
  <c r="E162" i="15" s="1"/>
  <c r="I108" i="2"/>
  <c r="I75" i="15" s="1"/>
  <c r="I161" i="15" s="1"/>
  <c r="E108" i="2"/>
  <c r="E75" i="15" s="1"/>
  <c r="E161" i="15" s="1"/>
  <c r="I107" i="2"/>
  <c r="I74" i="15" s="1"/>
  <c r="I160" i="15" s="1"/>
  <c r="E107" i="2"/>
  <c r="E74" i="15" s="1"/>
  <c r="E160" i="15" s="1"/>
  <c r="I106" i="2"/>
  <c r="I73" i="15" s="1"/>
  <c r="E106" i="2"/>
  <c r="E73" i="15" s="1"/>
  <c r="I105" i="2"/>
  <c r="E105" i="2"/>
  <c r="I104" i="2"/>
  <c r="I55" i="15" s="1"/>
  <c r="I156" i="15" s="1"/>
  <c r="E104" i="2"/>
  <c r="E55" i="15" s="1"/>
  <c r="E156" i="15" s="1"/>
  <c r="I103" i="2"/>
  <c r="I54" i="15" s="1"/>
  <c r="I155" i="15" s="1"/>
  <c r="E103" i="2"/>
  <c r="E54" i="15" s="1"/>
  <c r="E155" i="15" s="1"/>
  <c r="I102" i="2"/>
  <c r="I53" i="15" s="1"/>
  <c r="I154" i="15" s="1"/>
  <c r="E102" i="2"/>
  <c r="E53" i="15" s="1"/>
  <c r="E154" i="15" s="1"/>
  <c r="I101" i="2"/>
  <c r="I52" i="15" s="1"/>
  <c r="I153" i="15" s="1"/>
  <c r="E101" i="2"/>
  <c r="E52" i="15" s="1"/>
  <c r="E153" i="15" s="1"/>
  <c r="I100" i="2"/>
  <c r="I51" i="15" s="1"/>
  <c r="E100" i="2"/>
  <c r="E51" i="15" s="1"/>
  <c r="I99" i="2"/>
  <c r="E99" i="2"/>
  <c r="I98" i="2"/>
  <c r="I34" i="15" s="1"/>
  <c r="I149" i="15" s="1"/>
  <c r="E98" i="2"/>
  <c r="E34" i="15" s="1"/>
  <c r="E149" i="15" s="1"/>
  <c r="I97" i="2"/>
  <c r="I33" i="15" s="1"/>
  <c r="I148" i="15" s="1"/>
  <c r="E97" i="2"/>
  <c r="E33" i="15" s="1"/>
  <c r="E148" i="15" s="1"/>
  <c r="I96" i="2"/>
  <c r="I32" i="15" s="1"/>
  <c r="I147" i="15" s="1"/>
  <c r="E96" i="2"/>
  <c r="E32" i="15" s="1"/>
  <c r="E147" i="15" s="1"/>
  <c r="I95" i="2"/>
  <c r="I31" i="15" s="1"/>
  <c r="I146" i="15" s="1"/>
  <c r="E95" i="2"/>
  <c r="E31" i="15" s="1"/>
  <c r="E146" i="15" s="1"/>
  <c r="I94" i="2"/>
  <c r="I30" i="15" s="1"/>
  <c r="E94" i="2"/>
  <c r="E30" i="15" s="1"/>
  <c r="I93" i="2"/>
  <c r="E93" i="2"/>
  <c r="I92" i="2"/>
  <c r="I13" i="15" s="1"/>
  <c r="I142" i="15" s="1"/>
  <c r="E92" i="2"/>
  <c r="E13" i="15" s="1"/>
  <c r="E142" i="15" s="1"/>
  <c r="I91" i="2"/>
  <c r="I12" i="15" s="1"/>
  <c r="I141" i="15" s="1"/>
  <c r="E91" i="2"/>
  <c r="E12" i="15" s="1"/>
  <c r="E141" i="15" s="1"/>
  <c r="I90" i="2"/>
  <c r="I11" i="15" s="1"/>
  <c r="I140" i="15" s="1"/>
  <c r="E90" i="2"/>
  <c r="E11" i="15" s="1"/>
  <c r="E140" i="15" s="1"/>
  <c r="I89" i="2"/>
  <c r="I10" i="15" s="1"/>
  <c r="I139" i="15" s="1"/>
  <c r="E89" i="2"/>
  <c r="E10" i="15" s="1"/>
  <c r="E139" i="15" s="1"/>
  <c r="I88" i="2"/>
  <c r="I9" i="15" s="1"/>
  <c r="E88" i="2"/>
  <c r="E9" i="15" s="1"/>
  <c r="I87" i="2"/>
  <c r="E87" i="2"/>
  <c r="I86" i="2"/>
  <c r="E86" i="2"/>
  <c r="I85" i="2"/>
  <c r="I27" i="5" s="1"/>
  <c r="E85" i="2"/>
  <c r="E27" i="5" s="1"/>
  <c r="E27" i="6" s="1"/>
  <c r="I84" i="2"/>
  <c r="I26" i="5" s="1"/>
  <c r="E84" i="2"/>
  <c r="E26" i="5" s="1"/>
  <c r="E26" i="6" s="1"/>
  <c r="I83" i="2"/>
  <c r="E83" i="2"/>
  <c r="I82" i="2"/>
  <c r="E82" i="2"/>
  <c r="J82" i="2" s="1"/>
  <c r="I81" i="2"/>
  <c r="I1257" i="2" s="1"/>
  <c r="E81" i="2"/>
  <c r="E1257" i="2" s="1"/>
  <c r="I80" i="2"/>
  <c r="E80" i="2"/>
  <c r="J80" i="2" s="1"/>
  <c r="I79" i="2"/>
  <c r="E79" i="2"/>
  <c r="J79" i="2" s="1"/>
  <c r="I78" i="2"/>
  <c r="E78" i="2"/>
  <c r="I77" i="2"/>
  <c r="E77" i="2"/>
  <c r="I76" i="2"/>
  <c r="E76" i="2"/>
  <c r="J76" i="2" s="1"/>
  <c r="I75" i="2"/>
  <c r="E75" i="2"/>
  <c r="J75" i="2" s="1"/>
  <c r="I74" i="2"/>
  <c r="E74" i="2"/>
  <c r="J74" i="2" s="1"/>
  <c r="I73" i="2"/>
  <c r="E73" i="2"/>
  <c r="J73" i="2" s="1"/>
  <c r="I72" i="2"/>
  <c r="E72" i="2"/>
  <c r="J72" i="2" s="1"/>
  <c r="I71" i="2"/>
  <c r="E71" i="2"/>
  <c r="I70" i="2"/>
  <c r="E70" i="2"/>
  <c r="I69" i="2"/>
  <c r="E69" i="2"/>
  <c r="I68" i="2"/>
  <c r="I23" i="5" s="1"/>
  <c r="E68" i="2"/>
  <c r="E23" i="5" s="1"/>
  <c r="E23" i="6" s="1"/>
  <c r="I67" i="2"/>
  <c r="E67" i="2"/>
  <c r="J67" i="2" s="1"/>
  <c r="I66" i="2"/>
  <c r="E66" i="2"/>
  <c r="J66" i="2" s="1"/>
  <c r="I65" i="2"/>
  <c r="E65" i="2"/>
  <c r="J65" i="2" s="1"/>
  <c r="I64" i="2"/>
  <c r="E64" i="2"/>
  <c r="J64" i="2" s="1"/>
  <c r="I63" i="2"/>
  <c r="E63" i="2"/>
  <c r="J63" i="2" s="1"/>
  <c r="I62" i="2"/>
  <c r="E62" i="2"/>
  <c r="I61" i="2"/>
  <c r="E61" i="2"/>
  <c r="I60" i="2"/>
  <c r="E60" i="2"/>
  <c r="I59" i="2"/>
  <c r="I22" i="5" s="1"/>
  <c r="E59" i="2"/>
  <c r="E22" i="5" s="1"/>
  <c r="E22" i="6" s="1"/>
  <c r="I58" i="2"/>
  <c r="E58" i="2"/>
  <c r="J58" i="2" s="1"/>
  <c r="I57" i="2"/>
  <c r="E57" i="2"/>
  <c r="J57" i="2" s="1"/>
  <c r="I56" i="2"/>
  <c r="E56" i="2"/>
  <c r="I55" i="2"/>
  <c r="E55" i="2"/>
  <c r="I54" i="2"/>
  <c r="E54" i="2"/>
  <c r="I53" i="2"/>
  <c r="E53" i="2"/>
  <c r="I52" i="2"/>
  <c r="E52" i="2"/>
  <c r="J52" i="2" s="1"/>
  <c r="I51" i="2"/>
  <c r="E51" i="2"/>
  <c r="J51" i="2" s="1"/>
  <c r="I50" i="2"/>
  <c r="E50" i="2"/>
  <c r="I49" i="2"/>
  <c r="E49" i="2"/>
  <c r="I48" i="2"/>
  <c r="E48" i="2"/>
  <c r="I47" i="2"/>
  <c r="I20" i="5" s="1"/>
  <c r="E47" i="2"/>
  <c r="E20" i="5" s="1"/>
  <c r="E20" i="6" s="1"/>
  <c r="I46" i="2"/>
  <c r="E46" i="2"/>
  <c r="J46" i="2" s="1"/>
  <c r="I45" i="2"/>
  <c r="E45" i="2"/>
  <c r="J45" i="2" s="1"/>
  <c r="I44" i="2"/>
  <c r="E44" i="2"/>
  <c r="I43" i="2"/>
  <c r="E43" i="2"/>
  <c r="I42" i="2"/>
  <c r="E42" i="2"/>
  <c r="I41" i="2"/>
  <c r="E41" i="2"/>
  <c r="I40" i="2"/>
  <c r="E40" i="2"/>
  <c r="J40" i="2" s="1"/>
  <c r="I39" i="2"/>
  <c r="E39" i="2"/>
  <c r="J39" i="2" s="1"/>
  <c r="I38" i="2"/>
  <c r="E38" i="2"/>
  <c r="I37" i="2"/>
  <c r="E37" i="2"/>
  <c r="I36" i="2"/>
  <c r="E36" i="2"/>
  <c r="I35" i="2"/>
  <c r="E35" i="2"/>
  <c r="I34" i="2"/>
  <c r="E34" i="2"/>
  <c r="I33" i="2"/>
  <c r="I16" i="5" s="1"/>
  <c r="E33" i="2"/>
  <c r="E16" i="5" s="1"/>
  <c r="E16" i="6" s="1"/>
  <c r="I32" i="2"/>
  <c r="E32" i="2"/>
  <c r="J32" i="2" s="1"/>
  <c r="I31" i="2"/>
  <c r="E31" i="2"/>
  <c r="J31" i="2" s="1"/>
  <c r="I30" i="2"/>
  <c r="E30" i="2"/>
  <c r="J30" i="2" s="1"/>
  <c r="I29" i="2"/>
  <c r="E29" i="2"/>
  <c r="I28" i="2"/>
  <c r="E28" i="2"/>
  <c r="J28" i="2" s="1"/>
  <c r="I27" i="2"/>
  <c r="E27" i="2"/>
  <c r="J27" i="2" s="1"/>
  <c r="I26" i="2"/>
  <c r="E26" i="2"/>
  <c r="I25" i="2"/>
  <c r="E25" i="2"/>
  <c r="I24" i="2"/>
  <c r="E24" i="2"/>
  <c r="J24" i="2" s="1"/>
  <c r="I23" i="2"/>
  <c r="E23" i="2"/>
  <c r="J23" i="2" s="1"/>
  <c r="I22" i="2"/>
  <c r="E22" i="2"/>
  <c r="I21" i="2"/>
  <c r="I13" i="5" s="1"/>
  <c r="E21" i="2"/>
  <c r="E13" i="5" s="1"/>
  <c r="E13" i="6" s="1"/>
  <c r="I20" i="2"/>
  <c r="E20" i="2"/>
  <c r="J20" i="2" s="1"/>
  <c r="I19" i="2"/>
  <c r="E19" i="2"/>
  <c r="J19" i="2" s="1"/>
  <c r="I18" i="2"/>
  <c r="E18" i="2"/>
  <c r="J18" i="2" s="1"/>
  <c r="I17" i="2"/>
  <c r="E17" i="2"/>
  <c r="I16" i="2"/>
  <c r="E16" i="2"/>
  <c r="J16" i="2" s="1"/>
  <c r="I15" i="2"/>
  <c r="E15" i="2"/>
  <c r="J15" i="2" s="1"/>
  <c r="I14" i="2"/>
  <c r="E14" i="2"/>
  <c r="J14" i="2" s="1"/>
  <c r="I13" i="2"/>
  <c r="I11" i="5" s="1"/>
  <c r="E13" i="2"/>
  <c r="E11" i="5" s="1"/>
  <c r="E11" i="6" s="1"/>
  <c r="I12" i="2"/>
  <c r="E12" i="2"/>
  <c r="J12" i="2" s="1"/>
  <c r="I11" i="2"/>
  <c r="E11" i="2"/>
  <c r="J11" i="2" s="1"/>
  <c r="I10" i="2"/>
  <c r="I10" i="5" s="1"/>
  <c r="E10" i="2"/>
  <c r="E10" i="5" s="1"/>
  <c r="E10" i="6" s="1"/>
  <c r="I9" i="2"/>
  <c r="E9" i="2"/>
  <c r="C6" i="2"/>
  <c r="H12" i="8" l="1"/>
  <c r="K12" i="8" s="1"/>
  <c r="C14" i="8"/>
  <c r="D14" i="8" s="1"/>
  <c r="AF14" i="8"/>
  <c r="T17" i="8"/>
  <c r="F1323" i="2"/>
  <c r="F64" i="14" s="1"/>
  <c r="H1323" i="2"/>
  <c r="H64" i="14" s="1"/>
  <c r="F1342" i="2"/>
  <c r="H1342" i="2"/>
  <c r="D1370" i="2"/>
  <c r="G1370" i="2"/>
  <c r="K1370" i="2"/>
  <c r="J1376" i="2"/>
  <c r="F98" i="4"/>
  <c r="H98" i="4"/>
  <c r="D97" i="4"/>
  <c r="G97" i="4"/>
  <c r="K97" i="4"/>
  <c r="D99" i="4"/>
  <c r="G99" i="4"/>
  <c r="G106" i="6"/>
  <c r="K106" i="6"/>
  <c r="D108" i="6"/>
  <c r="G108" i="6"/>
  <c r="K108" i="6"/>
  <c r="D110" i="6"/>
  <c r="G110" i="6"/>
  <c r="K110" i="6"/>
  <c r="D112" i="6"/>
  <c r="G112" i="6"/>
  <c r="K112" i="6"/>
  <c r="D114" i="6"/>
  <c r="G114" i="6"/>
  <c r="K114" i="6"/>
  <c r="D116" i="6"/>
  <c r="G116" i="6"/>
  <c r="K116" i="6"/>
  <c r="D118" i="6"/>
  <c r="G118" i="6"/>
  <c r="K118" i="6"/>
  <c r="D120" i="6"/>
  <c r="G120" i="6"/>
  <c r="K120" i="6"/>
  <c r="D122" i="6"/>
  <c r="G122" i="6"/>
  <c r="K122" i="6"/>
  <c r="D124" i="6"/>
  <c r="G124" i="6"/>
  <c r="K124" i="6"/>
  <c r="D161" i="6"/>
  <c r="G161" i="6"/>
  <c r="K161" i="6"/>
  <c r="D163" i="6"/>
  <c r="G163" i="6"/>
  <c r="K163" i="6"/>
  <c r="D165" i="6"/>
  <c r="G165" i="6"/>
  <c r="K165" i="6"/>
  <c r="D167" i="6"/>
  <c r="G167" i="6"/>
  <c r="K167" i="6"/>
  <c r="D169" i="6"/>
  <c r="G169" i="6"/>
  <c r="K169" i="6"/>
  <c r="D171" i="6"/>
  <c r="G171" i="6"/>
  <c r="K171" i="6"/>
  <c r="D173" i="6"/>
  <c r="G173" i="6"/>
  <c r="K173" i="6"/>
  <c r="D175" i="6"/>
  <c r="G175" i="6"/>
  <c r="K175" i="6"/>
  <c r="D177" i="6"/>
  <c r="G177" i="6"/>
  <c r="K177" i="6"/>
  <c r="H14" i="8"/>
  <c r="K14" i="8" s="1"/>
  <c r="E12" i="8"/>
  <c r="T12" i="8"/>
  <c r="AR12" i="8"/>
  <c r="E14" i="8"/>
  <c r="T14" i="8"/>
  <c r="AR14" i="8"/>
  <c r="H17" i="8"/>
  <c r="AF17" i="8"/>
  <c r="D1122" i="2"/>
  <c r="G1122" i="2"/>
  <c r="K1122" i="2"/>
  <c r="D1135" i="2"/>
  <c r="G1135" i="2"/>
  <c r="K1135" i="2"/>
  <c r="D1162" i="2"/>
  <c r="G1162" i="2"/>
  <c r="K1162" i="2"/>
  <c r="D1169" i="2"/>
  <c r="G1169" i="2"/>
  <c r="K1169" i="2"/>
  <c r="D1177" i="2"/>
  <c r="G1177" i="2"/>
  <c r="K1177" i="2"/>
  <c r="D1203" i="2"/>
  <c r="G1203" i="2"/>
  <c r="K1203" i="2"/>
  <c r="D1211" i="2"/>
  <c r="G1211" i="2"/>
  <c r="K1211" i="2"/>
  <c r="F1216" i="2"/>
  <c r="H1216" i="2"/>
  <c r="F1237" i="2"/>
  <c r="H1237" i="2"/>
  <c r="F1258" i="2"/>
  <c r="F1269" i="2" s="1"/>
  <c r="H1258" i="2"/>
  <c r="H1269" i="2" s="1"/>
  <c r="D1267" i="2"/>
  <c r="D1269" i="2" s="1"/>
  <c r="G1267" i="2"/>
  <c r="G1269" i="2" s="1"/>
  <c r="K1267" i="2"/>
  <c r="K1269" i="2" s="1"/>
  <c r="F1359" i="2"/>
  <c r="F1367" i="2" s="1"/>
  <c r="H1359" i="2"/>
  <c r="H1367" i="2" s="1"/>
  <c r="J1377" i="2"/>
  <c r="K99" i="4"/>
  <c r="D126" i="6"/>
  <c r="G126" i="6"/>
  <c r="K126" i="6"/>
  <c r="D128" i="6"/>
  <c r="G128" i="6"/>
  <c r="K128" i="6"/>
  <c r="D130" i="6"/>
  <c r="G130" i="6"/>
  <c r="K130" i="6"/>
  <c r="D132" i="6"/>
  <c r="G132" i="6"/>
  <c r="K132" i="6"/>
  <c r="D179" i="6"/>
  <c r="G179" i="6"/>
  <c r="K179" i="6"/>
  <c r="D181" i="6"/>
  <c r="G181" i="6"/>
  <c r="K181" i="6"/>
  <c r="D183" i="6"/>
  <c r="G183" i="6"/>
  <c r="K183" i="6"/>
  <c r="D185" i="6"/>
  <c r="G185" i="6"/>
  <c r="K185" i="6"/>
  <c r="D187" i="6"/>
  <c r="G187" i="6"/>
  <c r="K187" i="6"/>
  <c r="D189" i="6"/>
  <c r="G189" i="6"/>
  <c r="K189" i="6"/>
  <c r="D191" i="6"/>
  <c r="G191" i="6"/>
  <c r="K191" i="6"/>
  <c r="D193" i="6"/>
  <c r="G193" i="6"/>
  <c r="K193" i="6"/>
  <c r="F200" i="6"/>
  <c r="H200" i="6"/>
  <c r="F202" i="6"/>
  <c r="H202" i="6"/>
  <c r="F204" i="6"/>
  <c r="H204" i="6"/>
  <c r="F206" i="6"/>
  <c r="H206" i="6"/>
  <c r="F208" i="6"/>
  <c r="H208" i="6"/>
  <c r="E9" i="5"/>
  <c r="E9" i="6" s="1"/>
  <c r="E1326" i="2"/>
  <c r="E1241" i="2"/>
  <c r="E1175" i="2"/>
  <c r="E9" i="4"/>
  <c r="J9" i="2"/>
  <c r="J13" i="2"/>
  <c r="J11" i="5" s="1"/>
  <c r="E12" i="5"/>
  <c r="E12" i="6" s="1"/>
  <c r="E1219" i="2"/>
  <c r="E1176" i="2"/>
  <c r="J17" i="2"/>
  <c r="J21" i="2"/>
  <c r="J13" i="5" s="1"/>
  <c r="I14" i="5"/>
  <c r="I1327" i="2"/>
  <c r="E15" i="5"/>
  <c r="E15" i="6" s="1"/>
  <c r="E1220" i="2"/>
  <c r="E10" i="4"/>
  <c r="J25" i="2"/>
  <c r="I1328" i="2"/>
  <c r="I1242" i="2"/>
  <c r="E1330" i="2"/>
  <c r="E1244" i="2"/>
  <c r="J29" i="2"/>
  <c r="J33" i="2"/>
  <c r="J16" i="5" s="1"/>
  <c r="I17" i="5"/>
  <c r="I1221" i="2"/>
  <c r="I11" i="4"/>
  <c r="E18" i="5"/>
  <c r="E18" i="6" s="1"/>
  <c r="E12" i="4"/>
  <c r="J35" i="2"/>
  <c r="I1334" i="2"/>
  <c r="I1251" i="2"/>
  <c r="I1248" i="2"/>
  <c r="E1335" i="2"/>
  <c r="E1249" i="2"/>
  <c r="J37" i="2"/>
  <c r="I1346" i="2"/>
  <c r="E19" i="5"/>
  <c r="E19" i="6" s="1"/>
  <c r="E1250" i="2"/>
  <c r="E13" i="4"/>
  <c r="J41" i="2"/>
  <c r="I1336" i="2"/>
  <c r="E1337" i="2"/>
  <c r="J43" i="2"/>
  <c r="I1347" i="2"/>
  <c r="J47" i="2"/>
  <c r="J20" i="5" s="1"/>
  <c r="I1338" i="2"/>
  <c r="E1339" i="2"/>
  <c r="E1252" i="2"/>
  <c r="J49" i="2"/>
  <c r="I1348" i="2"/>
  <c r="E21" i="5"/>
  <c r="E21" i="6" s="1"/>
  <c r="E1253" i="2"/>
  <c r="J53" i="2"/>
  <c r="I1340" i="2"/>
  <c r="E1341" i="2"/>
  <c r="J55" i="2"/>
  <c r="I1349" i="2"/>
  <c r="J59" i="2"/>
  <c r="J22" i="5" s="1"/>
  <c r="I1350" i="2"/>
  <c r="E1351" i="2"/>
  <c r="J61" i="2"/>
  <c r="I1352" i="2"/>
  <c r="E1254" i="2"/>
  <c r="J69" i="2"/>
  <c r="I1255" i="2"/>
  <c r="E1256" i="2"/>
  <c r="J71" i="2"/>
  <c r="E24" i="5"/>
  <c r="E24" i="6" s="1"/>
  <c r="E14" i="4"/>
  <c r="J77" i="2"/>
  <c r="I1331" i="2"/>
  <c r="I1245" i="2"/>
  <c r="J81" i="2"/>
  <c r="J1257" i="2" s="1"/>
  <c r="E25" i="5"/>
  <c r="E25" i="6" s="1"/>
  <c r="E1206" i="2"/>
  <c r="E15" i="4"/>
  <c r="J83" i="2"/>
  <c r="J85" i="2"/>
  <c r="J27" i="5" s="1"/>
  <c r="I46" i="14"/>
  <c r="I28" i="5"/>
  <c r="I16" i="4"/>
  <c r="E10" i="10"/>
  <c r="E29" i="5"/>
  <c r="E29" i="6" s="1"/>
  <c r="E1222" i="2"/>
  <c r="E17" i="4"/>
  <c r="J87" i="2"/>
  <c r="I138" i="15"/>
  <c r="I8" i="15"/>
  <c r="J89" i="2"/>
  <c r="J10" i="15" s="1"/>
  <c r="J91" i="2"/>
  <c r="J12" i="15" s="1"/>
  <c r="E11" i="10"/>
  <c r="E30" i="5"/>
  <c r="E30" i="6" s="1"/>
  <c r="E18" i="4"/>
  <c r="J93" i="2"/>
  <c r="I145" i="15"/>
  <c r="I29" i="15"/>
  <c r="J95" i="2"/>
  <c r="J31" i="15" s="1"/>
  <c r="J97" i="2"/>
  <c r="J33" i="15" s="1"/>
  <c r="E12" i="10"/>
  <c r="E31" i="5"/>
  <c r="E31" i="6" s="1"/>
  <c r="E19" i="4"/>
  <c r="J99" i="2"/>
  <c r="I152" i="15"/>
  <c r="I50" i="15"/>
  <c r="J101" i="2"/>
  <c r="J52" i="15" s="1"/>
  <c r="J103" i="2"/>
  <c r="J54" i="15" s="1"/>
  <c r="E13" i="10"/>
  <c r="E32" i="5"/>
  <c r="E32" i="6" s="1"/>
  <c r="E20" i="4"/>
  <c r="J105" i="2"/>
  <c r="I159" i="15"/>
  <c r="I72" i="15"/>
  <c r="J107" i="2"/>
  <c r="J74" i="15" s="1"/>
  <c r="J109" i="2"/>
  <c r="J76" i="15" s="1"/>
  <c r="E14" i="10"/>
  <c r="E33" i="5"/>
  <c r="E33" i="6" s="1"/>
  <c r="E21" i="4"/>
  <c r="J111" i="2"/>
  <c r="I166" i="15"/>
  <c r="I93" i="15"/>
  <c r="J113" i="2"/>
  <c r="J95" i="15" s="1"/>
  <c r="J115" i="2"/>
  <c r="J97" i="15" s="1"/>
  <c r="E15" i="10"/>
  <c r="E34" i="5"/>
  <c r="E34" i="6" s="1"/>
  <c r="E22" i="4"/>
  <c r="J117" i="2"/>
  <c r="I115" i="15"/>
  <c r="I1353" i="2"/>
  <c r="E116" i="15"/>
  <c r="E174" i="15" s="1"/>
  <c r="E1354" i="2"/>
  <c r="J119" i="2"/>
  <c r="I117" i="15"/>
  <c r="I175" i="15" s="1"/>
  <c r="I1355" i="2"/>
  <c r="J121" i="2"/>
  <c r="J118" i="15" s="1"/>
  <c r="E16" i="10"/>
  <c r="E35" i="5"/>
  <c r="E35" i="6" s="1"/>
  <c r="J123" i="2"/>
  <c r="E17" i="10"/>
  <c r="E36" i="5"/>
  <c r="E36" i="6" s="1"/>
  <c r="J129" i="2"/>
  <c r="E18" i="10"/>
  <c r="E37" i="5"/>
  <c r="E37" i="6" s="1"/>
  <c r="J135" i="2"/>
  <c r="E19" i="10"/>
  <c r="E38" i="5"/>
  <c r="E38" i="6" s="1"/>
  <c r="J141" i="2"/>
  <c r="E20" i="10"/>
  <c r="E39" i="5"/>
  <c r="E39" i="6" s="1"/>
  <c r="J147" i="2"/>
  <c r="E21" i="10"/>
  <c r="E40" i="5"/>
  <c r="E40" i="6" s="1"/>
  <c r="J153" i="2"/>
  <c r="E22" i="10"/>
  <c r="E41" i="5"/>
  <c r="E41" i="6" s="1"/>
  <c r="J159" i="2"/>
  <c r="E23" i="10"/>
  <c r="E42" i="5"/>
  <c r="E42" i="6" s="1"/>
  <c r="J165" i="2"/>
  <c r="E24" i="10"/>
  <c r="E43" i="5"/>
  <c r="E43" i="6" s="1"/>
  <c r="J171" i="2"/>
  <c r="E25" i="10"/>
  <c r="E44" i="5"/>
  <c r="E44" i="6" s="1"/>
  <c r="J177" i="2"/>
  <c r="E26" i="10"/>
  <c r="E45" i="5"/>
  <c r="E45" i="6" s="1"/>
  <c r="J183" i="2"/>
  <c r="E27" i="10"/>
  <c r="E46" i="5"/>
  <c r="E46" i="6" s="1"/>
  <c r="J189" i="2"/>
  <c r="E30" i="10"/>
  <c r="E47" i="5"/>
  <c r="E47" i="6" s="1"/>
  <c r="E1272" i="2"/>
  <c r="J195" i="2"/>
  <c r="I15" i="15"/>
  <c r="J197" i="2"/>
  <c r="J17" i="15" s="1"/>
  <c r="J199" i="2"/>
  <c r="J19" i="15" s="1"/>
  <c r="E31" i="10"/>
  <c r="E48" i="5"/>
  <c r="E48" i="6" s="1"/>
  <c r="E1273" i="2"/>
  <c r="J201" i="2"/>
  <c r="I36" i="15"/>
  <c r="J203" i="2"/>
  <c r="J38" i="15" s="1"/>
  <c r="J205" i="2"/>
  <c r="J40" i="15" s="1"/>
  <c r="E32" i="10"/>
  <c r="E49" i="5"/>
  <c r="E49" i="6" s="1"/>
  <c r="E1274" i="2"/>
  <c r="J207" i="2"/>
  <c r="I57" i="15"/>
  <c r="J209" i="2"/>
  <c r="J59" i="15" s="1"/>
  <c r="J211" i="2"/>
  <c r="J61" i="15" s="1"/>
  <c r="E33" i="10"/>
  <c r="E50" i="5"/>
  <c r="E50" i="6" s="1"/>
  <c r="E1275" i="2"/>
  <c r="J213" i="2"/>
  <c r="I79" i="15"/>
  <c r="J215" i="2"/>
  <c r="J81" i="15" s="1"/>
  <c r="J217" i="2"/>
  <c r="J83" i="15" s="1"/>
  <c r="E34" i="10"/>
  <c r="E51" i="5"/>
  <c r="E51" i="6" s="1"/>
  <c r="E1276" i="2"/>
  <c r="J219" i="2"/>
  <c r="I100" i="15"/>
  <c r="J221" i="2"/>
  <c r="J102" i="15" s="1"/>
  <c r="J223" i="2"/>
  <c r="J104" i="15" s="1"/>
  <c r="E35" i="10"/>
  <c r="E52" i="5"/>
  <c r="E52" i="6" s="1"/>
  <c r="E1277" i="2"/>
  <c r="J225" i="2"/>
  <c r="I121" i="15"/>
  <c r="J227" i="2"/>
  <c r="J123" i="15" s="1"/>
  <c r="J229" i="2"/>
  <c r="J125" i="15" s="1"/>
  <c r="E36" i="10"/>
  <c r="E53" i="5"/>
  <c r="E53" i="6" s="1"/>
  <c r="E1278" i="2"/>
  <c r="J231" i="2"/>
  <c r="E37" i="10"/>
  <c r="E54" i="5"/>
  <c r="E54" i="6" s="1"/>
  <c r="E1279" i="2"/>
  <c r="J237" i="2"/>
  <c r="E38" i="10"/>
  <c r="E55" i="5"/>
  <c r="E55" i="6" s="1"/>
  <c r="E1280" i="2"/>
  <c r="J243" i="2"/>
  <c r="E39" i="10"/>
  <c r="E56" i="5"/>
  <c r="E56" i="6" s="1"/>
  <c r="E1281" i="2"/>
  <c r="J249" i="2"/>
  <c r="E40" i="10"/>
  <c r="E57" i="5"/>
  <c r="E57" i="6" s="1"/>
  <c r="E1282" i="2"/>
  <c r="J255" i="2"/>
  <c r="E41" i="10"/>
  <c r="E58" i="5"/>
  <c r="E58" i="6" s="1"/>
  <c r="E1283" i="2"/>
  <c r="J261" i="2"/>
  <c r="E42" i="10"/>
  <c r="E59" i="5"/>
  <c r="E59" i="6" s="1"/>
  <c r="E1284" i="2"/>
  <c r="J267" i="2"/>
  <c r="E43" i="10"/>
  <c r="E60" i="5"/>
  <c r="E60" i="6" s="1"/>
  <c r="E1285" i="2"/>
  <c r="J273" i="2"/>
  <c r="E44" i="10"/>
  <c r="E61" i="5"/>
  <c r="E61" i="6" s="1"/>
  <c r="E1286" i="2"/>
  <c r="J279" i="2"/>
  <c r="E45" i="10"/>
  <c r="E62" i="5"/>
  <c r="E62" i="6" s="1"/>
  <c r="E1287" i="2"/>
  <c r="J285" i="2"/>
  <c r="E46" i="10"/>
  <c r="E63" i="5"/>
  <c r="E63" i="6" s="1"/>
  <c r="E1288" i="2"/>
  <c r="J291" i="2"/>
  <c r="E47" i="10"/>
  <c r="E64" i="5"/>
  <c r="E64" i="6" s="1"/>
  <c r="E1289" i="2"/>
  <c r="J297" i="2"/>
  <c r="E50" i="10"/>
  <c r="E65" i="5"/>
  <c r="E65" i="6" s="1"/>
  <c r="E1290" i="2"/>
  <c r="J303" i="2"/>
  <c r="I22" i="15"/>
  <c r="J305" i="2"/>
  <c r="J24" i="15" s="1"/>
  <c r="J307" i="2"/>
  <c r="J26" i="15" s="1"/>
  <c r="E51" i="10"/>
  <c r="E66" i="5"/>
  <c r="E66" i="6" s="1"/>
  <c r="E1291" i="2"/>
  <c r="J309" i="2"/>
  <c r="I43" i="15"/>
  <c r="J311" i="2"/>
  <c r="J45" i="15" s="1"/>
  <c r="J313" i="2"/>
  <c r="J47" i="15" s="1"/>
  <c r="E52" i="10"/>
  <c r="E67" i="5"/>
  <c r="E67" i="6" s="1"/>
  <c r="E1292" i="2"/>
  <c r="J315" i="2"/>
  <c r="I64" i="15"/>
  <c r="J317" i="2"/>
  <c r="J66" i="15" s="1"/>
  <c r="J319" i="2"/>
  <c r="J68" i="15" s="1"/>
  <c r="J321" i="2"/>
  <c r="J70" i="15" s="1"/>
  <c r="I53" i="10"/>
  <c r="I68" i="5"/>
  <c r="I1293" i="2"/>
  <c r="E86" i="15"/>
  <c r="J323" i="2"/>
  <c r="J87" i="15" s="1"/>
  <c r="J325" i="2"/>
  <c r="J89" i="15" s="1"/>
  <c r="J327" i="2"/>
  <c r="J91" i="15" s="1"/>
  <c r="I54" i="10"/>
  <c r="I69" i="5"/>
  <c r="I1294" i="2"/>
  <c r="E107" i="15"/>
  <c r="J329" i="2"/>
  <c r="J108" i="15" s="1"/>
  <c r="J331" i="2"/>
  <c r="J110" i="15" s="1"/>
  <c r="J333" i="2"/>
  <c r="J112" i="15" s="1"/>
  <c r="I55" i="10"/>
  <c r="I70" i="5"/>
  <c r="I1295" i="2"/>
  <c r="E128" i="15"/>
  <c r="J335" i="2"/>
  <c r="J129" i="15" s="1"/>
  <c r="J337" i="2"/>
  <c r="J131" i="15" s="1"/>
  <c r="J339" i="2"/>
  <c r="J133" i="15" s="1"/>
  <c r="I56" i="10"/>
  <c r="I71" i="5"/>
  <c r="I1296" i="2"/>
  <c r="I57" i="10"/>
  <c r="I72" i="5"/>
  <c r="I1297" i="2"/>
  <c r="I58" i="10"/>
  <c r="I73" i="5"/>
  <c r="I1298" i="2"/>
  <c r="E59" i="10"/>
  <c r="E74" i="5"/>
  <c r="E74" i="6" s="1"/>
  <c r="E1299" i="2"/>
  <c r="J359" i="2"/>
  <c r="E60" i="10"/>
  <c r="E75" i="5"/>
  <c r="E75" i="6" s="1"/>
  <c r="E1300" i="2"/>
  <c r="J365" i="2"/>
  <c r="E61" i="10"/>
  <c r="E76" i="5"/>
  <c r="E76" i="6" s="1"/>
  <c r="E1301" i="2"/>
  <c r="J371" i="2"/>
  <c r="E62" i="10"/>
  <c r="E77" i="5"/>
  <c r="E77" i="6" s="1"/>
  <c r="E1302" i="2"/>
  <c r="J377" i="2"/>
  <c r="E63" i="10"/>
  <c r="E78" i="5"/>
  <c r="E78" i="6" s="1"/>
  <c r="E1303" i="2"/>
  <c r="J383" i="2"/>
  <c r="E64" i="10"/>
  <c r="E79" i="5"/>
  <c r="E79" i="6" s="1"/>
  <c r="E1304" i="2"/>
  <c r="J389" i="2"/>
  <c r="I65" i="10"/>
  <c r="I80" i="5"/>
  <c r="I1305" i="2"/>
  <c r="I66" i="10"/>
  <c r="I81" i="5"/>
  <c r="I1306" i="2"/>
  <c r="I67" i="10"/>
  <c r="I82" i="5"/>
  <c r="I1307" i="2"/>
  <c r="I70" i="10"/>
  <c r="I83" i="5"/>
  <c r="I1314" i="2"/>
  <c r="I1360" i="2" s="1"/>
  <c r="I1207" i="2"/>
  <c r="I23" i="4"/>
  <c r="E84" i="5"/>
  <c r="E84" i="6" s="1"/>
  <c r="E24" i="4"/>
  <c r="J415" i="2"/>
  <c r="I85" i="5"/>
  <c r="I25" i="4"/>
  <c r="E86" i="5"/>
  <c r="E86" i="6" s="1"/>
  <c r="E26" i="4"/>
  <c r="J417" i="2"/>
  <c r="I87" i="5"/>
  <c r="I27" i="4"/>
  <c r="E88" i="5"/>
  <c r="E88" i="6" s="1"/>
  <c r="E28" i="4"/>
  <c r="J419" i="2"/>
  <c r="I89" i="5"/>
  <c r="I29" i="4"/>
  <c r="E90" i="5"/>
  <c r="E90" i="6" s="1"/>
  <c r="E30" i="4"/>
  <c r="J421" i="2"/>
  <c r="I91" i="5"/>
  <c r="I31" i="4"/>
  <c r="E92" i="5"/>
  <c r="E92" i="6" s="1"/>
  <c r="E32" i="4"/>
  <c r="J423" i="2"/>
  <c r="I93" i="5"/>
  <c r="I1223" i="2"/>
  <c r="I33" i="4"/>
  <c r="E94" i="5"/>
  <c r="E94" i="6" s="1"/>
  <c r="E1308" i="2"/>
  <c r="E34" i="4"/>
  <c r="J427" i="2"/>
  <c r="J431" i="2"/>
  <c r="J96" i="5" s="1"/>
  <c r="J445" i="2"/>
  <c r="J98" i="5" s="1"/>
  <c r="J451" i="2"/>
  <c r="J100" i="5" s="1"/>
  <c r="J453" i="2"/>
  <c r="J102" i="5" s="1"/>
  <c r="J455" i="2"/>
  <c r="J104" i="5" s="1"/>
  <c r="J457" i="2"/>
  <c r="J106" i="5" s="1"/>
  <c r="J473" i="2"/>
  <c r="J109" i="5" s="1"/>
  <c r="I110" i="5"/>
  <c r="I1208" i="2"/>
  <c r="E111" i="5"/>
  <c r="E111" i="6" s="1"/>
  <c r="E1309" i="2"/>
  <c r="E35" i="4"/>
  <c r="J485" i="2"/>
  <c r="J487" i="2"/>
  <c r="J489" i="2"/>
  <c r="J491" i="2"/>
  <c r="J113" i="5" s="1"/>
  <c r="J505" i="2"/>
  <c r="J115" i="5" s="1"/>
  <c r="J513" i="2"/>
  <c r="J116" i="5" s="1"/>
  <c r="E118" i="5"/>
  <c r="E118" i="6" s="1"/>
  <c r="E1209" i="2"/>
  <c r="J529" i="2"/>
  <c r="I119" i="5"/>
  <c r="I1310" i="2"/>
  <c r="I36" i="4"/>
  <c r="J539" i="2"/>
  <c r="J121" i="5" s="1"/>
  <c r="J545" i="2"/>
  <c r="J123" i="5" s="1"/>
  <c r="I124" i="5"/>
  <c r="I1311" i="2"/>
  <c r="I37" i="4"/>
  <c r="E125" i="5"/>
  <c r="E125" i="6" s="1"/>
  <c r="E1312" i="2"/>
  <c r="E1227" i="2"/>
  <c r="J555" i="2"/>
  <c r="J561" i="2"/>
  <c r="J126" i="5" s="1"/>
  <c r="J563" i="2"/>
  <c r="J565" i="2"/>
  <c r="J567" i="2"/>
  <c r="J1362" i="2" s="1"/>
  <c r="J569" i="2"/>
  <c r="J1364" i="2" s="1"/>
  <c r="J571" i="2"/>
  <c r="J1366" i="2" s="1"/>
  <c r="I1315" i="2"/>
  <c r="I1234" i="2"/>
  <c r="J581" i="2"/>
  <c r="I127" i="5"/>
  <c r="I1313" i="2"/>
  <c r="I1236" i="2"/>
  <c r="J585" i="2"/>
  <c r="J128" i="5" s="1"/>
  <c r="J599" i="2"/>
  <c r="J130" i="5" s="1"/>
  <c r="J603" i="2"/>
  <c r="J131" i="5" s="1"/>
  <c r="E133" i="5"/>
  <c r="E133" i="6" s="1"/>
  <c r="E1210" i="2"/>
  <c r="J613" i="2"/>
  <c r="E38" i="4"/>
  <c r="E134" i="5"/>
  <c r="J617" i="2"/>
  <c r="E136" i="5"/>
  <c r="E40" i="4"/>
  <c r="J619" i="2"/>
  <c r="E138" i="5"/>
  <c r="E42" i="4"/>
  <c r="J621" i="2"/>
  <c r="J623" i="2"/>
  <c r="J140" i="5" s="1"/>
  <c r="I141" i="5"/>
  <c r="I45" i="4"/>
  <c r="E142" i="5"/>
  <c r="E140" i="6" s="1"/>
  <c r="E46" i="4"/>
  <c r="E1319" i="2"/>
  <c r="E1260" i="2"/>
  <c r="E1185" i="2"/>
  <c r="J625" i="2"/>
  <c r="E144" i="5"/>
  <c r="E142" i="6" s="1"/>
  <c r="E1186" i="2"/>
  <c r="J627" i="2"/>
  <c r="J629" i="2"/>
  <c r="J146" i="5" s="1"/>
  <c r="E148" i="5"/>
  <c r="E146" i="6" s="1"/>
  <c r="E1187" i="2"/>
  <c r="J631" i="2"/>
  <c r="J633" i="2"/>
  <c r="J150" i="5" s="1"/>
  <c r="E152" i="5"/>
  <c r="E150" i="6" s="1"/>
  <c r="E1188" i="2"/>
  <c r="J635" i="2"/>
  <c r="E154" i="5"/>
  <c r="E152" i="6" s="1"/>
  <c r="E47" i="4"/>
  <c r="E1332" i="2"/>
  <c r="E1320" i="2"/>
  <c r="E1246" i="2"/>
  <c r="E1189" i="2"/>
  <c r="J637" i="2"/>
  <c r="J639" i="2"/>
  <c r="J1190" i="2" s="1"/>
  <c r="E156" i="5"/>
  <c r="E154" i="6" s="1"/>
  <c r="E48" i="4"/>
  <c r="E1261" i="2"/>
  <c r="E1191" i="2"/>
  <c r="J641" i="2"/>
  <c r="I1321" i="2"/>
  <c r="E1322" i="2"/>
  <c r="J643" i="2"/>
  <c r="J647" i="2"/>
  <c r="J1192" i="2" s="1"/>
  <c r="I157" i="5"/>
  <c r="I49" i="4"/>
  <c r="I1193" i="2"/>
  <c r="E158" i="5"/>
  <c r="E156" i="6" s="1"/>
  <c r="E50" i="4"/>
  <c r="E1194" i="2"/>
  <c r="J649" i="2"/>
  <c r="I159" i="5"/>
  <c r="I51" i="4"/>
  <c r="I1195" i="2"/>
  <c r="E160" i="5"/>
  <c r="E158" i="6" s="1"/>
  <c r="E1329" i="2"/>
  <c r="E1243" i="2"/>
  <c r="J651" i="2"/>
  <c r="I161" i="5"/>
  <c r="I1333" i="2"/>
  <c r="I1247" i="2"/>
  <c r="I162" i="5"/>
  <c r="I1196" i="2"/>
  <c r="E163" i="5"/>
  <c r="E161" i="6" s="1"/>
  <c r="E52" i="4"/>
  <c r="E1262" i="2"/>
  <c r="J659" i="2"/>
  <c r="J661" i="2"/>
  <c r="J165" i="5" s="1"/>
  <c r="J665" i="2"/>
  <c r="J167" i="5" s="1"/>
  <c r="E168" i="5"/>
  <c r="E166" i="6" s="1"/>
  <c r="E53" i="4"/>
  <c r="E1263" i="2"/>
  <c r="J669" i="2"/>
  <c r="I169" i="5"/>
  <c r="I54" i="4"/>
  <c r="J673" i="2"/>
  <c r="J170" i="5" s="1"/>
  <c r="J687" i="2"/>
  <c r="J172" i="5" s="1"/>
  <c r="J695" i="2"/>
  <c r="J173" i="5" s="1"/>
  <c r="J703" i="2"/>
  <c r="J176" i="5" s="1"/>
  <c r="J705" i="2"/>
  <c r="J178" i="5" s="1"/>
  <c r="J707" i="2"/>
  <c r="J180" i="5" s="1"/>
  <c r="E181" i="5"/>
  <c r="E179" i="6" s="1"/>
  <c r="E55" i="4"/>
  <c r="E1264" i="2"/>
  <c r="E1197" i="2"/>
  <c r="J713" i="2"/>
  <c r="I182" i="5"/>
  <c r="I56" i="4"/>
  <c r="E183" i="5"/>
  <c r="E181" i="6" s="1"/>
  <c r="E57" i="4"/>
  <c r="J715" i="2"/>
  <c r="J717" i="2"/>
  <c r="E184" i="5"/>
  <c r="E182" i="6" s="1"/>
  <c r="E58" i="4"/>
  <c r="J721" i="2"/>
  <c r="J723" i="2"/>
  <c r="E185" i="5"/>
  <c r="E183" i="6" s="1"/>
  <c r="E59" i="4"/>
  <c r="J727" i="2"/>
  <c r="J729" i="2"/>
  <c r="E186" i="5"/>
  <c r="E184" i="6" s="1"/>
  <c r="E60" i="4"/>
  <c r="J733" i="2"/>
  <c r="J735" i="2"/>
  <c r="E187" i="5"/>
  <c r="E185" i="6" s="1"/>
  <c r="E61" i="4"/>
  <c r="J739" i="2"/>
  <c r="J741" i="2"/>
  <c r="E188" i="5"/>
  <c r="E186" i="6" s="1"/>
  <c r="E62" i="4"/>
  <c r="J745" i="2"/>
  <c r="J747" i="2"/>
  <c r="E189" i="5"/>
  <c r="E187" i="6" s="1"/>
  <c r="E63" i="4"/>
  <c r="J751" i="2"/>
  <c r="J753" i="2"/>
  <c r="E190" i="5"/>
  <c r="E188" i="6" s="1"/>
  <c r="E64" i="4"/>
  <c r="J757" i="2"/>
  <c r="E191" i="5"/>
  <c r="E189" i="6" s="1"/>
  <c r="E65" i="4"/>
  <c r="J763" i="2"/>
  <c r="J765" i="2"/>
  <c r="E192" i="5"/>
  <c r="E190" i="6" s="1"/>
  <c r="E66" i="4"/>
  <c r="E1265" i="2"/>
  <c r="E1198" i="2"/>
  <c r="J769" i="2"/>
  <c r="E193" i="5"/>
  <c r="E191" i="6" s="1"/>
  <c r="E67" i="4"/>
  <c r="J783" i="2"/>
  <c r="J785" i="2"/>
  <c r="J1200" i="2" s="1"/>
  <c r="J787" i="2"/>
  <c r="J195" i="5" s="1"/>
  <c r="I196" i="5"/>
  <c r="I68" i="4"/>
  <c r="I1266" i="2"/>
  <c r="I1201" i="2"/>
  <c r="J797" i="2"/>
  <c r="J1202" i="2" s="1"/>
  <c r="E197" i="5"/>
  <c r="E69" i="4"/>
  <c r="J805" i="2"/>
  <c r="I200" i="5"/>
  <c r="I72" i="4"/>
  <c r="I201" i="5"/>
  <c r="I73" i="4"/>
  <c r="E202" i="5"/>
  <c r="E202" i="6" s="1"/>
  <c r="E74" i="4"/>
  <c r="J815" i="2"/>
  <c r="E203" i="5"/>
  <c r="E203" i="6" s="1"/>
  <c r="E75" i="4"/>
  <c r="J825" i="2"/>
  <c r="E204" i="5"/>
  <c r="E204" i="6" s="1"/>
  <c r="E76" i="4"/>
  <c r="J831" i="2"/>
  <c r="I205" i="5"/>
  <c r="I77" i="4"/>
  <c r="E206" i="5"/>
  <c r="E206" i="6" s="1"/>
  <c r="E78" i="4"/>
  <c r="J835" i="2"/>
  <c r="I207" i="5"/>
  <c r="I79" i="4"/>
  <c r="E208" i="5"/>
  <c r="E208" i="6" s="1"/>
  <c r="E80" i="4"/>
  <c r="J837" i="2"/>
  <c r="I209" i="5"/>
  <c r="I81" i="4"/>
  <c r="E1214" i="2"/>
  <c r="E1216" i="2" s="1"/>
  <c r="E210" i="5"/>
  <c r="E82" i="4"/>
  <c r="E1368" i="2"/>
  <c r="J839" i="2"/>
  <c r="E212" i="5"/>
  <c r="E84" i="4"/>
  <c r="J841" i="2"/>
  <c r="E90" i="12"/>
  <c r="E1215" i="2"/>
  <c r="E214" i="5"/>
  <c r="E86" i="4"/>
  <c r="E1369" i="2"/>
  <c r="J843" i="2"/>
  <c r="E216" i="5"/>
  <c r="E88" i="4"/>
  <c r="J845" i="2"/>
  <c r="E218" i="5"/>
  <c r="E90" i="4"/>
  <c r="J849" i="2"/>
  <c r="J865" i="2"/>
  <c r="J220" i="5" s="1"/>
  <c r="J869" i="2"/>
  <c r="J222" i="5" s="1"/>
  <c r="J875" i="2"/>
  <c r="J223" i="5" s="1"/>
  <c r="J879" i="2"/>
  <c r="J224" i="5" s="1"/>
  <c r="E226" i="5"/>
  <c r="E92" i="4"/>
  <c r="J907" i="2"/>
  <c r="J1001" i="2"/>
  <c r="J228" i="5" s="1"/>
  <c r="F14" i="14"/>
  <c r="F74" i="14" s="1"/>
  <c r="F1179" i="2"/>
  <c r="H14" i="14"/>
  <c r="H74" i="14" s="1"/>
  <c r="H1179" i="2"/>
  <c r="E1141" i="2"/>
  <c r="E1143" i="2"/>
  <c r="I1143" i="2"/>
  <c r="E1145" i="2"/>
  <c r="I1145" i="2"/>
  <c r="E1147" i="2"/>
  <c r="I1147" i="2"/>
  <c r="I1149" i="2"/>
  <c r="E1151" i="2"/>
  <c r="I1151" i="2"/>
  <c r="E1153" i="2"/>
  <c r="I1153" i="2"/>
  <c r="E1155" i="2"/>
  <c r="I1155" i="2"/>
  <c r="E1157" i="2"/>
  <c r="I1157" i="2"/>
  <c r="I1159" i="2"/>
  <c r="I1161" i="2"/>
  <c r="I1166" i="2"/>
  <c r="E1168" i="2"/>
  <c r="D16" i="14"/>
  <c r="D15" i="14"/>
  <c r="G16" i="14"/>
  <c r="G15" i="14"/>
  <c r="K16" i="14"/>
  <c r="K15" i="14"/>
  <c r="D1373" i="2"/>
  <c r="D1372" i="2"/>
  <c r="D66" i="14"/>
  <c r="D1345" i="2"/>
  <c r="D1356" i="2" s="1"/>
  <c r="D67" i="14" s="1"/>
  <c r="G66" i="14"/>
  <c r="G1345" i="2"/>
  <c r="G1356" i="2" s="1"/>
  <c r="G67" i="14" s="1"/>
  <c r="K66" i="14"/>
  <c r="K1345" i="2"/>
  <c r="K1356" i="2" s="1"/>
  <c r="K67" i="14" s="1"/>
  <c r="H73" i="14"/>
  <c r="F73" i="14"/>
  <c r="D73" i="14"/>
  <c r="D70" i="14"/>
  <c r="J61" i="14"/>
  <c r="H61" i="14"/>
  <c r="F61" i="14"/>
  <c r="D61" i="14"/>
  <c r="J60" i="14"/>
  <c r="H60" i="14"/>
  <c r="D60" i="14"/>
  <c r="J59" i="14"/>
  <c r="D59" i="14"/>
  <c r="J58" i="14"/>
  <c r="F58" i="14"/>
  <c r="J56" i="14"/>
  <c r="H56" i="14"/>
  <c r="J55" i="14"/>
  <c r="H55" i="14"/>
  <c r="D55" i="14"/>
  <c r="J54" i="14"/>
  <c r="J53" i="14"/>
  <c r="H53" i="14"/>
  <c r="F53" i="14"/>
  <c r="D53" i="14"/>
  <c r="H43" i="14"/>
  <c r="F43" i="14"/>
  <c r="D43" i="14"/>
  <c r="H42" i="14"/>
  <c r="F42" i="14"/>
  <c r="D42" i="14"/>
  <c r="H11" i="14"/>
  <c r="F11" i="14"/>
  <c r="K73" i="14"/>
  <c r="G73" i="14"/>
  <c r="E73" i="14"/>
  <c r="K61" i="14"/>
  <c r="I61" i="14"/>
  <c r="G61" i="14"/>
  <c r="E61" i="14"/>
  <c r="I60" i="14"/>
  <c r="G60" i="14"/>
  <c r="E60" i="14"/>
  <c r="E59" i="14"/>
  <c r="I58" i="14"/>
  <c r="K57" i="14"/>
  <c r="I56" i="14"/>
  <c r="G56" i="14"/>
  <c r="I55" i="14"/>
  <c r="E55" i="14"/>
  <c r="K54" i="14"/>
  <c r="I54" i="14"/>
  <c r="G54" i="14"/>
  <c r="I53" i="14"/>
  <c r="G53" i="14"/>
  <c r="E53" i="14"/>
  <c r="K43" i="14"/>
  <c r="I43" i="14"/>
  <c r="G43" i="14"/>
  <c r="E43" i="14"/>
  <c r="K42" i="14"/>
  <c r="I42" i="14"/>
  <c r="G42" i="14"/>
  <c r="E42" i="14"/>
  <c r="I9" i="5"/>
  <c r="I1326" i="2"/>
  <c r="I1241" i="2"/>
  <c r="I1175" i="2"/>
  <c r="I9" i="4"/>
  <c r="J10" i="2"/>
  <c r="J10" i="5" s="1"/>
  <c r="I12" i="5"/>
  <c r="I1219" i="2"/>
  <c r="I1176" i="2"/>
  <c r="E14" i="5"/>
  <c r="E14" i="6" s="1"/>
  <c r="E1327" i="2"/>
  <c r="J22" i="2"/>
  <c r="I15" i="5"/>
  <c r="I1220" i="2"/>
  <c r="I10" i="4"/>
  <c r="E1328" i="2"/>
  <c r="E1242" i="2"/>
  <c r="J26" i="2"/>
  <c r="I1330" i="2"/>
  <c r="I1244" i="2"/>
  <c r="E17" i="5"/>
  <c r="E17" i="6" s="1"/>
  <c r="E1221" i="2"/>
  <c r="E11" i="4"/>
  <c r="E98" i="4" s="1"/>
  <c r="J34" i="2"/>
  <c r="I18" i="5"/>
  <c r="I12" i="4"/>
  <c r="E1334" i="2"/>
  <c r="E1251" i="2"/>
  <c r="E1248" i="2"/>
  <c r="J36" i="2"/>
  <c r="I1335" i="2"/>
  <c r="I1249" i="2"/>
  <c r="E1346" i="2"/>
  <c r="J38" i="2"/>
  <c r="I19" i="5"/>
  <c r="I1250" i="2"/>
  <c r="I13" i="4"/>
  <c r="E1336" i="2"/>
  <c r="J42" i="2"/>
  <c r="I1337" i="2"/>
  <c r="E1347" i="2"/>
  <c r="J44" i="2"/>
  <c r="E1338" i="2"/>
  <c r="J48" i="2"/>
  <c r="I1339" i="2"/>
  <c r="I1252" i="2"/>
  <c r="E1348" i="2"/>
  <c r="J50" i="2"/>
  <c r="I21" i="5"/>
  <c r="I1253" i="2"/>
  <c r="E1340" i="2"/>
  <c r="J54" i="2"/>
  <c r="I1341" i="2"/>
  <c r="E1349" i="2"/>
  <c r="J56" i="2"/>
  <c r="E1350" i="2"/>
  <c r="J60" i="2"/>
  <c r="I1351" i="2"/>
  <c r="E1352" i="2"/>
  <c r="J62" i="2"/>
  <c r="J68" i="2"/>
  <c r="J23" i="5" s="1"/>
  <c r="I1254" i="2"/>
  <c r="E1255" i="2"/>
  <c r="J70" i="2"/>
  <c r="I1256" i="2"/>
  <c r="I24" i="5"/>
  <c r="I14" i="4"/>
  <c r="E1331" i="2"/>
  <c r="E1245" i="2"/>
  <c r="J78" i="2"/>
  <c r="I25" i="5"/>
  <c r="I1206" i="2"/>
  <c r="I15" i="4"/>
  <c r="J84" i="2"/>
  <c r="J26" i="5" s="1"/>
  <c r="E46" i="14"/>
  <c r="E28" i="5"/>
  <c r="E28" i="6" s="1"/>
  <c r="E16" i="4"/>
  <c r="J86" i="2"/>
  <c r="I10" i="10"/>
  <c r="I29" i="5"/>
  <c r="I1222" i="2"/>
  <c r="I17" i="4"/>
  <c r="E138" i="15"/>
  <c r="E8" i="15"/>
  <c r="J88" i="2"/>
  <c r="J9" i="15" s="1"/>
  <c r="J90" i="2"/>
  <c r="J11" i="15" s="1"/>
  <c r="J92" i="2"/>
  <c r="J13" i="15" s="1"/>
  <c r="I11" i="10"/>
  <c r="I30" i="5"/>
  <c r="I18" i="4"/>
  <c r="E145" i="15"/>
  <c r="E29" i="15"/>
  <c r="E144" i="15" s="1"/>
  <c r="E20" i="14" s="1"/>
  <c r="J94" i="2"/>
  <c r="J30" i="15" s="1"/>
  <c r="J96" i="2"/>
  <c r="J32" i="15" s="1"/>
  <c r="J98" i="2"/>
  <c r="J34" i="15" s="1"/>
  <c r="I12" i="10"/>
  <c r="I31" i="5"/>
  <c r="I19" i="4"/>
  <c r="E152" i="15"/>
  <c r="E50" i="15"/>
  <c r="E151" i="15" s="1"/>
  <c r="E21" i="14" s="1"/>
  <c r="J100" i="2"/>
  <c r="J51" i="15" s="1"/>
  <c r="J102" i="2"/>
  <c r="J53" i="15" s="1"/>
  <c r="J104" i="2"/>
  <c r="J55" i="15" s="1"/>
  <c r="I13" i="10"/>
  <c r="I32" i="5"/>
  <c r="I20" i="4"/>
  <c r="E159" i="15"/>
  <c r="E72" i="15"/>
  <c r="E158" i="15" s="1"/>
  <c r="E22" i="14" s="1"/>
  <c r="J106" i="2"/>
  <c r="J73" i="15" s="1"/>
  <c r="J108" i="2"/>
  <c r="J75" i="15" s="1"/>
  <c r="J110" i="2"/>
  <c r="J77" i="15" s="1"/>
  <c r="I14" i="10"/>
  <c r="I33" i="5"/>
  <c r="I21" i="4"/>
  <c r="E166" i="15"/>
  <c r="E93" i="15"/>
  <c r="E165" i="15" s="1"/>
  <c r="E23" i="14" s="1"/>
  <c r="J112" i="2"/>
  <c r="J94" i="15" s="1"/>
  <c r="J114" i="2"/>
  <c r="J96" i="15" s="1"/>
  <c r="J116" i="2"/>
  <c r="J98" i="15" s="1"/>
  <c r="I15" i="10"/>
  <c r="I34" i="5"/>
  <c r="I22" i="4"/>
  <c r="E115" i="15"/>
  <c r="E1353" i="2"/>
  <c r="J118" i="2"/>
  <c r="I116" i="15"/>
  <c r="I174" i="15" s="1"/>
  <c r="I1354" i="2"/>
  <c r="E117" i="15"/>
  <c r="E175" i="15" s="1"/>
  <c r="E1355" i="2"/>
  <c r="J120" i="2"/>
  <c r="J122" i="2"/>
  <c r="J119" i="15" s="1"/>
  <c r="I16" i="10"/>
  <c r="I35" i="5"/>
  <c r="I17" i="10"/>
  <c r="I36" i="5"/>
  <c r="I18" i="10"/>
  <c r="I37" i="5"/>
  <c r="I19" i="10"/>
  <c r="I38" i="5"/>
  <c r="I20" i="10"/>
  <c r="I39" i="5"/>
  <c r="I21" i="10"/>
  <c r="I40" i="5"/>
  <c r="I22" i="10"/>
  <c r="I41" i="5"/>
  <c r="I23" i="10"/>
  <c r="I42" i="5"/>
  <c r="I24" i="10"/>
  <c r="I43" i="5"/>
  <c r="I25" i="10"/>
  <c r="I44" i="5"/>
  <c r="I26" i="10"/>
  <c r="I45" i="5"/>
  <c r="I27" i="10"/>
  <c r="I46" i="5"/>
  <c r="I30" i="10"/>
  <c r="I47" i="5"/>
  <c r="I1272" i="2"/>
  <c r="J196" i="2"/>
  <c r="J16" i="15" s="1"/>
  <c r="J198" i="2"/>
  <c r="J18" i="15" s="1"/>
  <c r="J200" i="2"/>
  <c r="J20" i="15" s="1"/>
  <c r="I31" i="10"/>
  <c r="I48" i="5"/>
  <c r="I1273" i="2"/>
  <c r="J202" i="2"/>
  <c r="J37" i="15" s="1"/>
  <c r="J204" i="2"/>
  <c r="J39" i="15" s="1"/>
  <c r="J206" i="2"/>
  <c r="J41" i="15" s="1"/>
  <c r="I32" i="10"/>
  <c r="I49" i="5"/>
  <c r="I1274" i="2"/>
  <c r="J208" i="2"/>
  <c r="J58" i="15" s="1"/>
  <c r="J210" i="2"/>
  <c r="J60" i="15" s="1"/>
  <c r="J212" i="2"/>
  <c r="J62" i="15" s="1"/>
  <c r="I33" i="10"/>
  <c r="I50" i="5"/>
  <c r="I1275" i="2"/>
  <c r="J214" i="2"/>
  <c r="J80" i="15" s="1"/>
  <c r="J216" i="2"/>
  <c r="J82" i="15" s="1"/>
  <c r="J218" i="2"/>
  <c r="J84" i="15" s="1"/>
  <c r="I34" i="10"/>
  <c r="I51" i="5"/>
  <c r="I1276" i="2"/>
  <c r="J220" i="2"/>
  <c r="J101" i="15" s="1"/>
  <c r="J222" i="2"/>
  <c r="J103" i="15" s="1"/>
  <c r="J224" i="2"/>
  <c r="J105" i="15" s="1"/>
  <c r="I35" i="10"/>
  <c r="I52" i="5"/>
  <c r="I1277" i="2"/>
  <c r="J226" i="2"/>
  <c r="J122" i="15" s="1"/>
  <c r="J228" i="2"/>
  <c r="J124" i="15" s="1"/>
  <c r="J230" i="2"/>
  <c r="J126" i="15" s="1"/>
  <c r="I36" i="10"/>
  <c r="I53" i="5"/>
  <c r="I1278" i="2"/>
  <c r="I37" i="10"/>
  <c r="I54" i="5"/>
  <c r="I1279" i="2"/>
  <c r="I38" i="10"/>
  <c r="I55" i="5"/>
  <c r="I1280" i="2"/>
  <c r="I39" i="10"/>
  <c r="I56" i="5"/>
  <c r="I1281" i="2"/>
  <c r="I40" i="10"/>
  <c r="I57" i="5"/>
  <c r="I1282" i="2"/>
  <c r="I41" i="10"/>
  <c r="I58" i="5"/>
  <c r="I1283" i="2"/>
  <c r="I42" i="10"/>
  <c r="I59" i="5"/>
  <c r="I1284" i="2"/>
  <c r="I43" i="10"/>
  <c r="I60" i="5"/>
  <c r="I1285" i="2"/>
  <c r="I44" i="10"/>
  <c r="I61" i="5"/>
  <c r="I1286" i="2"/>
  <c r="I45" i="10"/>
  <c r="I62" i="5"/>
  <c r="I1287" i="2"/>
  <c r="I46" i="10"/>
  <c r="I63" i="5"/>
  <c r="I1288" i="2"/>
  <c r="I47" i="10"/>
  <c r="I64" i="5"/>
  <c r="I1289" i="2"/>
  <c r="I50" i="10"/>
  <c r="I65" i="5"/>
  <c r="I1290" i="2"/>
  <c r="J304" i="2"/>
  <c r="J23" i="15" s="1"/>
  <c r="J306" i="2"/>
  <c r="J25" i="15" s="1"/>
  <c r="J308" i="2"/>
  <c r="J27" i="15" s="1"/>
  <c r="I51" i="10"/>
  <c r="I66" i="5"/>
  <c r="I1291" i="2"/>
  <c r="J310" i="2"/>
  <c r="J44" i="15" s="1"/>
  <c r="J312" i="2"/>
  <c r="J46" i="15" s="1"/>
  <c r="J314" i="2"/>
  <c r="J48" i="15" s="1"/>
  <c r="I52" i="10"/>
  <c r="I67" i="5"/>
  <c r="I1292" i="2"/>
  <c r="J316" i="2"/>
  <c r="J65" i="15" s="1"/>
  <c r="J318" i="2"/>
  <c r="J67" i="15" s="1"/>
  <c r="J320" i="2"/>
  <c r="J69" i="15" s="1"/>
  <c r="E53" i="10"/>
  <c r="E68" i="5"/>
  <c r="E68" i="6" s="1"/>
  <c r="E1293" i="2"/>
  <c r="J322" i="2"/>
  <c r="J324" i="2"/>
  <c r="J88" i="15" s="1"/>
  <c r="J326" i="2"/>
  <c r="J90" i="15" s="1"/>
  <c r="E54" i="10"/>
  <c r="E69" i="5"/>
  <c r="E69" i="6" s="1"/>
  <c r="E1294" i="2"/>
  <c r="J328" i="2"/>
  <c r="J330" i="2"/>
  <c r="J109" i="15" s="1"/>
  <c r="J332" i="2"/>
  <c r="J111" i="15" s="1"/>
  <c r="E55" i="10"/>
  <c r="E70" i="5"/>
  <c r="E70" i="6" s="1"/>
  <c r="E1295" i="2"/>
  <c r="J334" i="2"/>
  <c r="J336" i="2"/>
  <c r="J130" i="15" s="1"/>
  <c r="J338" i="2"/>
  <c r="J132" i="15" s="1"/>
  <c r="E56" i="10"/>
  <c r="E71" i="5"/>
  <c r="E71" i="6" s="1"/>
  <c r="E1296" i="2"/>
  <c r="J340" i="2"/>
  <c r="E57" i="10"/>
  <c r="E72" i="5"/>
  <c r="E72" i="6" s="1"/>
  <c r="E1297" i="2"/>
  <c r="J346" i="2"/>
  <c r="E58" i="10"/>
  <c r="E73" i="5"/>
  <c r="E73" i="6" s="1"/>
  <c r="E1298" i="2"/>
  <c r="J352" i="2"/>
  <c r="I59" i="10"/>
  <c r="I74" i="5"/>
  <c r="I1299" i="2"/>
  <c r="I60" i="10"/>
  <c r="I75" i="5"/>
  <c r="I1300" i="2"/>
  <c r="I61" i="10"/>
  <c r="I76" i="5"/>
  <c r="I1301" i="2"/>
  <c r="I62" i="10"/>
  <c r="I77" i="5"/>
  <c r="I1302" i="2"/>
  <c r="I63" i="10"/>
  <c r="I78" i="5"/>
  <c r="I1303" i="2"/>
  <c r="I64" i="10"/>
  <c r="I79" i="5"/>
  <c r="I1304" i="2"/>
  <c r="E65" i="10"/>
  <c r="E80" i="5"/>
  <c r="E80" i="6" s="1"/>
  <c r="E1305" i="2"/>
  <c r="J396" i="2"/>
  <c r="E66" i="10"/>
  <c r="E81" i="5"/>
  <c r="E81" i="6" s="1"/>
  <c r="E1306" i="2"/>
  <c r="J402" i="2"/>
  <c r="E67" i="10"/>
  <c r="E82" i="5"/>
  <c r="E82" i="6" s="1"/>
  <c r="E1307" i="2"/>
  <c r="J408" i="2"/>
  <c r="E70" i="10"/>
  <c r="E83" i="5"/>
  <c r="E83" i="6" s="1"/>
  <c r="E1314" i="2"/>
  <c r="E1360" i="2" s="1"/>
  <c r="E1207" i="2"/>
  <c r="E23" i="4"/>
  <c r="J414" i="2"/>
  <c r="I84" i="5"/>
  <c r="I24" i="4"/>
  <c r="E85" i="5"/>
  <c r="E85" i="6" s="1"/>
  <c r="E25" i="4"/>
  <c r="J416" i="2"/>
  <c r="I86" i="5"/>
  <c r="I26" i="4"/>
  <c r="E87" i="5"/>
  <c r="E87" i="6" s="1"/>
  <c r="E27" i="4"/>
  <c r="J418" i="2"/>
  <c r="I88" i="5"/>
  <c r="I28" i="4"/>
  <c r="E89" i="5"/>
  <c r="E89" i="6" s="1"/>
  <c r="E29" i="4"/>
  <c r="J420" i="2"/>
  <c r="I90" i="5"/>
  <c r="I30" i="4"/>
  <c r="E91" i="5"/>
  <c r="E91" i="6" s="1"/>
  <c r="E31" i="4"/>
  <c r="J422" i="2"/>
  <c r="I92" i="5"/>
  <c r="I32" i="4"/>
  <c r="E93" i="5"/>
  <c r="E93" i="6" s="1"/>
  <c r="E1223" i="2"/>
  <c r="E33" i="4"/>
  <c r="J424" i="2"/>
  <c r="I94" i="5"/>
  <c r="I1308" i="2"/>
  <c r="I34" i="4"/>
  <c r="J428" i="2"/>
  <c r="J95" i="5" s="1"/>
  <c r="J436" i="2"/>
  <c r="J97" i="5" s="1"/>
  <c r="J446" i="2"/>
  <c r="J99" i="5" s="1"/>
  <c r="J452" i="2"/>
  <c r="J101" i="5" s="1"/>
  <c r="J454" i="2"/>
  <c r="J103" i="5" s="1"/>
  <c r="J456" i="2"/>
  <c r="J105" i="5" s="1"/>
  <c r="J458" i="2"/>
  <c r="J107" i="5" s="1"/>
  <c r="J466" i="2"/>
  <c r="J108" i="5" s="1"/>
  <c r="E110" i="5"/>
  <c r="E110" i="6" s="1"/>
  <c r="E1208" i="2"/>
  <c r="J482" i="2"/>
  <c r="I111" i="5"/>
  <c r="I1309" i="2"/>
  <c r="I35" i="4"/>
  <c r="J486" i="2"/>
  <c r="J112" i="5" s="1"/>
  <c r="J488" i="2"/>
  <c r="J502" i="2"/>
  <c r="J114" i="5" s="1"/>
  <c r="J522" i="2"/>
  <c r="J117" i="5" s="1"/>
  <c r="I118" i="5"/>
  <c r="I1209" i="2"/>
  <c r="E119" i="5"/>
  <c r="E119" i="6" s="1"/>
  <c r="E1310" i="2"/>
  <c r="E36" i="4"/>
  <c r="J534" i="2"/>
  <c r="J536" i="2"/>
  <c r="J120" i="5" s="1"/>
  <c r="J540" i="2"/>
  <c r="J122" i="5" s="1"/>
  <c r="E124" i="5"/>
  <c r="E124" i="6" s="1"/>
  <c r="E1311" i="2"/>
  <c r="E37" i="4"/>
  <c r="J554" i="2"/>
  <c r="I125" i="5"/>
  <c r="I1312" i="2"/>
  <c r="I1227" i="2"/>
  <c r="J562" i="2"/>
  <c r="J564" i="2"/>
  <c r="J566" i="2"/>
  <c r="J1361" i="2" s="1"/>
  <c r="J568" i="2"/>
  <c r="J1363" i="2" s="1"/>
  <c r="J570" i="2"/>
  <c r="J1365" i="2" s="1"/>
  <c r="J572" i="2"/>
  <c r="J574" i="2"/>
  <c r="E1315" i="2"/>
  <c r="E1234" i="2"/>
  <c r="J580" i="2"/>
  <c r="E127" i="5"/>
  <c r="E127" i="6" s="1"/>
  <c r="E1313" i="2"/>
  <c r="E1236" i="2"/>
  <c r="J582" i="2"/>
  <c r="J590" i="2"/>
  <c r="J129" i="5" s="1"/>
  <c r="J606" i="2"/>
  <c r="J132" i="5" s="1"/>
  <c r="I133" i="5"/>
  <c r="I1210" i="2"/>
  <c r="I38" i="4"/>
  <c r="I134" i="5"/>
  <c r="I131" i="6" s="1"/>
  <c r="I136" i="5"/>
  <c r="I40" i="4"/>
  <c r="I138" i="5"/>
  <c r="I42" i="4"/>
  <c r="E141" i="5"/>
  <c r="E139" i="6" s="1"/>
  <c r="E45" i="4"/>
  <c r="J624" i="2"/>
  <c r="I142" i="5"/>
  <c r="I46" i="4"/>
  <c r="I1319" i="2"/>
  <c r="I1260" i="2"/>
  <c r="I1185" i="2"/>
  <c r="J626" i="2"/>
  <c r="J143" i="5" s="1"/>
  <c r="I144" i="5"/>
  <c r="I1186" i="2"/>
  <c r="J628" i="2"/>
  <c r="J145" i="5" s="1"/>
  <c r="J630" i="2"/>
  <c r="J147" i="5" s="1"/>
  <c r="I148" i="5"/>
  <c r="I1187" i="2"/>
  <c r="J632" i="2"/>
  <c r="J149" i="5" s="1"/>
  <c r="J634" i="2"/>
  <c r="J151" i="5" s="1"/>
  <c r="I152" i="5"/>
  <c r="I1188" i="2"/>
  <c r="J636" i="2"/>
  <c r="J153" i="5" s="1"/>
  <c r="I154" i="5"/>
  <c r="I47" i="4"/>
  <c r="I1332" i="2"/>
  <c r="I1320" i="2"/>
  <c r="I1246" i="2"/>
  <c r="I1189" i="2"/>
  <c r="J640" i="2"/>
  <c r="J155" i="5" s="1"/>
  <c r="I156" i="5"/>
  <c r="I48" i="4"/>
  <c r="I1261" i="2"/>
  <c r="I1191" i="2"/>
  <c r="E1321" i="2"/>
  <c r="J642" i="2"/>
  <c r="I1322" i="2"/>
  <c r="E157" i="5"/>
  <c r="E155" i="6" s="1"/>
  <c r="E49" i="4"/>
  <c r="E1193" i="2"/>
  <c r="J648" i="2"/>
  <c r="I158" i="5"/>
  <c r="I50" i="4"/>
  <c r="I1194" i="2"/>
  <c r="E159" i="5"/>
  <c r="E157" i="6" s="1"/>
  <c r="E51" i="4"/>
  <c r="E1195" i="2"/>
  <c r="J650" i="2"/>
  <c r="I160" i="5"/>
  <c r="I1329" i="2"/>
  <c r="I1243" i="2"/>
  <c r="E161" i="5"/>
  <c r="E159" i="6" s="1"/>
  <c r="E1333" i="2"/>
  <c r="E1247" i="2"/>
  <c r="J654" i="2"/>
  <c r="E162" i="5"/>
  <c r="E160" i="6" s="1"/>
  <c r="E1196" i="2"/>
  <c r="J658" i="2"/>
  <c r="I163" i="5"/>
  <c r="I52" i="4"/>
  <c r="I1262" i="2"/>
  <c r="J660" i="2"/>
  <c r="J164" i="5" s="1"/>
  <c r="J664" i="2"/>
  <c r="J166" i="5" s="1"/>
  <c r="I168" i="5"/>
  <c r="I53" i="4"/>
  <c r="I1263" i="2"/>
  <c r="E169" i="5"/>
  <c r="E167" i="6" s="1"/>
  <c r="E54" i="4"/>
  <c r="J672" i="2"/>
  <c r="J686" i="2"/>
  <c r="J171" i="5" s="1"/>
  <c r="J698" i="2"/>
  <c r="J174" i="5" s="1"/>
  <c r="J702" i="2"/>
  <c r="J175" i="5" s="1"/>
  <c r="J704" i="2"/>
  <c r="J177" i="5" s="1"/>
  <c r="J706" i="2"/>
  <c r="J179" i="5" s="1"/>
  <c r="I181" i="5"/>
  <c r="I55" i="4"/>
  <c r="I1264" i="2"/>
  <c r="I1197" i="2"/>
  <c r="E182" i="5"/>
  <c r="E180" i="6" s="1"/>
  <c r="E56" i="4"/>
  <c r="J714" i="2"/>
  <c r="I183" i="5"/>
  <c r="I57" i="4"/>
  <c r="J716" i="2"/>
  <c r="I184" i="5"/>
  <c r="I58" i="4"/>
  <c r="J722" i="2"/>
  <c r="I185" i="5"/>
  <c r="I59" i="4"/>
  <c r="J728" i="2"/>
  <c r="I186" i="5"/>
  <c r="I60" i="4"/>
  <c r="J734" i="2"/>
  <c r="I187" i="5"/>
  <c r="I61" i="4"/>
  <c r="J740" i="2"/>
  <c r="I188" i="5"/>
  <c r="I62" i="4"/>
  <c r="J746" i="2"/>
  <c r="I189" i="5"/>
  <c r="I63" i="4"/>
  <c r="J752" i="2"/>
  <c r="I190" i="5"/>
  <c r="I64" i="4"/>
  <c r="I191" i="5"/>
  <c r="I65" i="4"/>
  <c r="J764" i="2"/>
  <c r="I192" i="5"/>
  <c r="I66" i="4"/>
  <c r="I1265" i="2"/>
  <c r="I1198" i="2"/>
  <c r="J782" i="2"/>
  <c r="J1199" i="2" s="1"/>
  <c r="I193" i="5"/>
  <c r="I67" i="4"/>
  <c r="J784" i="2"/>
  <c r="J194" i="5" s="1"/>
  <c r="E196" i="5"/>
  <c r="E194" i="6" s="1"/>
  <c r="E68" i="4"/>
  <c r="J788" i="2"/>
  <c r="E1266" i="2"/>
  <c r="E1201" i="2"/>
  <c r="J796" i="2"/>
  <c r="I197" i="5"/>
  <c r="I141" i="6" s="1"/>
  <c r="I69" i="4"/>
  <c r="E200" i="5"/>
  <c r="E200" i="6" s="1"/>
  <c r="E72" i="4"/>
  <c r="J808" i="2"/>
  <c r="E201" i="5"/>
  <c r="E201" i="6" s="1"/>
  <c r="E73" i="4"/>
  <c r="J812" i="2"/>
  <c r="I202" i="5"/>
  <c r="I74" i="4"/>
  <c r="I203" i="5"/>
  <c r="I75" i="4"/>
  <c r="I204" i="5"/>
  <c r="I76" i="4"/>
  <c r="E205" i="5"/>
  <c r="E205" i="6" s="1"/>
  <c r="E77" i="4"/>
  <c r="J834" i="2"/>
  <c r="I206" i="5"/>
  <c r="I78" i="4"/>
  <c r="E207" i="5"/>
  <c r="E207" i="6" s="1"/>
  <c r="E79" i="4"/>
  <c r="J836" i="2"/>
  <c r="I208" i="5"/>
  <c r="I80" i="4"/>
  <c r="E209" i="5"/>
  <c r="E209" i="6" s="1"/>
  <c r="E81" i="4"/>
  <c r="J838" i="2"/>
  <c r="I1214" i="2"/>
  <c r="I210" i="5"/>
  <c r="I82" i="4"/>
  <c r="I1368" i="2"/>
  <c r="I212" i="5"/>
  <c r="I84" i="4"/>
  <c r="I90" i="12"/>
  <c r="I1215" i="2"/>
  <c r="I214" i="5"/>
  <c r="I86" i="4"/>
  <c r="I106" i="3"/>
  <c r="I1369" i="2"/>
  <c r="I216" i="5"/>
  <c r="I88" i="4"/>
  <c r="I218" i="5"/>
  <c r="I90" i="4"/>
  <c r="J850" i="2"/>
  <c r="J219" i="5" s="1"/>
  <c r="J866" i="2"/>
  <c r="J221" i="5" s="1"/>
  <c r="I226" i="5"/>
  <c r="I92" i="4"/>
  <c r="J908" i="2"/>
  <c r="J227" i="5" s="1"/>
  <c r="E1100" i="2"/>
  <c r="I1100" i="2"/>
  <c r="E1101" i="2"/>
  <c r="I1101" i="2"/>
  <c r="E1102" i="2"/>
  <c r="I1102" i="2"/>
  <c r="E1112" i="2"/>
  <c r="I1112" i="2"/>
  <c r="E1113" i="2"/>
  <c r="I1113" i="2"/>
  <c r="E1114" i="2"/>
  <c r="I1114" i="2"/>
  <c r="E1115" i="2"/>
  <c r="I1115" i="2"/>
  <c r="E1116" i="2"/>
  <c r="I1116" i="2"/>
  <c r="E1117" i="2"/>
  <c r="I1117" i="2"/>
  <c r="E1118" i="2"/>
  <c r="I1118" i="2"/>
  <c r="E1119" i="2"/>
  <c r="I1119" i="2"/>
  <c r="E1120" i="2"/>
  <c r="I1120" i="2"/>
  <c r="E1121" i="2"/>
  <c r="I1121" i="2"/>
  <c r="E1125" i="2"/>
  <c r="I1125" i="2"/>
  <c r="E1126" i="2"/>
  <c r="I1126" i="2"/>
  <c r="E1127" i="2"/>
  <c r="I1127" i="2"/>
  <c r="E1128" i="2"/>
  <c r="I1128" i="2"/>
  <c r="E1129" i="2"/>
  <c r="I1129" i="2"/>
  <c r="E1130" i="2"/>
  <c r="I1130" i="2"/>
  <c r="E1131" i="2"/>
  <c r="I1131" i="2"/>
  <c r="E1132" i="2"/>
  <c r="I1132" i="2"/>
  <c r="E1133" i="2"/>
  <c r="I1133" i="2"/>
  <c r="E1134" i="2"/>
  <c r="I1134" i="2"/>
  <c r="E1138" i="2"/>
  <c r="I1138" i="2"/>
  <c r="E1139" i="2"/>
  <c r="I1139" i="2"/>
  <c r="E1140" i="2"/>
  <c r="I1140" i="2"/>
  <c r="E1142" i="2"/>
  <c r="I1142" i="2"/>
  <c r="E1144" i="2"/>
  <c r="I1144" i="2"/>
  <c r="E1146" i="2"/>
  <c r="I1146" i="2"/>
  <c r="E1148" i="2"/>
  <c r="I1148" i="2"/>
  <c r="E1150" i="2"/>
  <c r="I1150" i="2"/>
  <c r="E1152" i="2"/>
  <c r="I1152" i="2"/>
  <c r="E1154" i="2"/>
  <c r="I1154" i="2"/>
  <c r="E1156" i="2"/>
  <c r="I1156" i="2"/>
  <c r="E1158" i="2"/>
  <c r="I1158" i="2"/>
  <c r="E1160" i="2"/>
  <c r="I1160" i="2"/>
  <c r="E1165" i="2"/>
  <c r="I1165" i="2"/>
  <c r="E1167" i="2"/>
  <c r="I1167" i="2"/>
  <c r="F16" i="14"/>
  <c r="F15" i="14"/>
  <c r="H16" i="14"/>
  <c r="H15" i="14"/>
  <c r="F1373" i="2"/>
  <c r="F1372" i="2"/>
  <c r="F70" i="14" s="1"/>
  <c r="H1373" i="2"/>
  <c r="H1372" i="2"/>
  <c r="H70" i="14" s="1"/>
  <c r="F66" i="14"/>
  <c r="F1345" i="2"/>
  <c r="F1356" i="2" s="1"/>
  <c r="F67" i="14" s="1"/>
  <c r="H66" i="14"/>
  <c r="H1345" i="2"/>
  <c r="H1356" i="2" s="1"/>
  <c r="H67" i="14" s="1"/>
  <c r="D1316" i="2"/>
  <c r="F1316" i="2"/>
  <c r="H1316" i="2"/>
  <c r="G1359" i="2"/>
  <c r="G1367" i="2" s="1"/>
  <c r="K1359" i="2"/>
  <c r="K1367" i="2" s="1"/>
  <c r="J9" i="3"/>
  <c r="J9" i="12" s="1"/>
  <c r="J9" i="13" s="1"/>
  <c r="E12" i="13"/>
  <c r="J12" i="3"/>
  <c r="J12" i="12" s="1"/>
  <c r="J12" i="13" s="1"/>
  <c r="I13" i="13"/>
  <c r="E14" i="13"/>
  <c r="J14" i="3"/>
  <c r="J14" i="12" s="1"/>
  <c r="J14" i="13" s="1"/>
  <c r="I15" i="13"/>
  <c r="I16" i="13"/>
  <c r="E17" i="13"/>
  <c r="J26" i="3"/>
  <c r="J17" i="12" s="1"/>
  <c r="J17" i="13" s="1"/>
  <c r="I18" i="13"/>
  <c r="E19" i="13"/>
  <c r="J28" i="3"/>
  <c r="J19" i="12" s="1"/>
  <c r="J19" i="13" s="1"/>
  <c r="I20" i="13"/>
  <c r="E21" i="13"/>
  <c r="J30" i="3"/>
  <c r="J21" i="12" s="1"/>
  <c r="J21" i="13" s="1"/>
  <c r="I22" i="13"/>
  <c r="E23" i="13"/>
  <c r="J32" i="3"/>
  <c r="J23" i="12" s="1"/>
  <c r="J23" i="13" s="1"/>
  <c r="I25" i="13"/>
  <c r="E26" i="13"/>
  <c r="J35" i="3"/>
  <c r="J26" i="12" s="1"/>
  <c r="J26" i="13" s="1"/>
  <c r="E27" i="13"/>
  <c r="J41" i="3"/>
  <c r="J27" i="12" s="1"/>
  <c r="J27" i="13" s="1"/>
  <c r="I28" i="13"/>
  <c r="E29" i="13"/>
  <c r="J43" i="3"/>
  <c r="J29" i="12" s="1"/>
  <c r="J29" i="13" s="1"/>
  <c r="I30" i="13"/>
  <c r="I31" i="13"/>
  <c r="E32" i="13"/>
  <c r="J49" i="3"/>
  <c r="J32" i="12" s="1"/>
  <c r="J32" i="13" s="1"/>
  <c r="I33" i="13"/>
  <c r="E34" i="13"/>
  <c r="J51" i="3"/>
  <c r="J34" i="12" s="1"/>
  <c r="J34" i="13" s="1"/>
  <c r="I35" i="13"/>
  <c r="E36" i="13"/>
  <c r="J53" i="3"/>
  <c r="J36" i="12" s="1"/>
  <c r="J36" i="13" s="1"/>
  <c r="I37" i="13"/>
  <c r="E38" i="13"/>
  <c r="J55" i="3"/>
  <c r="J38" i="12" s="1"/>
  <c r="J38" i="13" s="1"/>
  <c r="I39" i="13"/>
  <c r="E40" i="13"/>
  <c r="J57" i="3"/>
  <c r="J40" i="12" s="1"/>
  <c r="J40" i="13" s="1"/>
  <c r="I41" i="13"/>
  <c r="E42" i="13"/>
  <c r="J59" i="3"/>
  <c r="J42" i="12" s="1"/>
  <c r="J42" i="13" s="1"/>
  <c r="I43" i="13"/>
  <c r="E44" i="13"/>
  <c r="J61" i="3"/>
  <c r="J44" i="12" s="1"/>
  <c r="J44" i="13" s="1"/>
  <c r="I45" i="13"/>
  <c r="E46" i="13"/>
  <c r="J63" i="3"/>
  <c r="J46" i="12" s="1"/>
  <c r="J46" i="13" s="1"/>
  <c r="I47" i="13"/>
  <c r="E48" i="13"/>
  <c r="J65" i="3"/>
  <c r="J48" i="12" s="1"/>
  <c r="J48" i="13" s="1"/>
  <c r="I49" i="13"/>
  <c r="E51" i="13"/>
  <c r="J68" i="3"/>
  <c r="J51" i="12" s="1"/>
  <c r="J51" i="13" s="1"/>
  <c r="I52" i="13"/>
  <c r="E53" i="13"/>
  <c r="J70" i="3"/>
  <c r="J53" i="12" s="1"/>
  <c r="J53" i="13" s="1"/>
  <c r="I54" i="13"/>
  <c r="E55" i="13"/>
  <c r="J72" i="3"/>
  <c r="J55" i="12" s="1"/>
  <c r="J55" i="13" s="1"/>
  <c r="I56" i="13"/>
  <c r="E57" i="13"/>
  <c r="J74" i="3"/>
  <c r="J57" i="12" s="1"/>
  <c r="J57" i="13" s="1"/>
  <c r="I58" i="13"/>
  <c r="E38" i="14"/>
  <c r="E37" i="14"/>
  <c r="E60" i="13"/>
  <c r="J77" i="3"/>
  <c r="J60" i="12" s="1"/>
  <c r="I39" i="14"/>
  <c r="I61" i="13"/>
  <c r="E62" i="13"/>
  <c r="J79" i="3"/>
  <c r="J62" i="12" s="1"/>
  <c r="J62" i="13" s="1"/>
  <c r="I63" i="13"/>
  <c r="E64" i="13"/>
  <c r="J81" i="3"/>
  <c r="J64" i="12" s="1"/>
  <c r="J64" i="13" s="1"/>
  <c r="I65" i="13"/>
  <c r="E66" i="13"/>
  <c r="J83" i="3"/>
  <c r="J66" i="12" s="1"/>
  <c r="J66" i="13" s="1"/>
  <c r="I67" i="13"/>
  <c r="E50" i="14"/>
  <c r="E49" i="14"/>
  <c r="E68" i="13"/>
  <c r="J85" i="3"/>
  <c r="J68" i="12" s="1"/>
  <c r="I70" i="13"/>
  <c r="E71" i="13"/>
  <c r="J88" i="3"/>
  <c r="J71" i="12" s="1"/>
  <c r="J71" i="13" s="1"/>
  <c r="I72" i="13"/>
  <c r="E73" i="13"/>
  <c r="J90" i="3"/>
  <c r="J73" i="12" s="1"/>
  <c r="J73" i="13" s="1"/>
  <c r="I74" i="13"/>
  <c r="E75" i="13"/>
  <c r="J92" i="3"/>
  <c r="J75" i="12" s="1"/>
  <c r="J75" i="13" s="1"/>
  <c r="E77" i="13"/>
  <c r="J94" i="3"/>
  <c r="J77" i="12" s="1"/>
  <c r="J77" i="13" s="1"/>
  <c r="I78" i="13"/>
  <c r="E79" i="13"/>
  <c r="J96" i="3"/>
  <c r="J79" i="12" s="1"/>
  <c r="J79" i="13" s="1"/>
  <c r="I80" i="13"/>
  <c r="E81" i="13"/>
  <c r="J98" i="3"/>
  <c r="J81" i="12" s="1"/>
  <c r="J81" i="13" s="1"/>
  <c r="I82" i="13"/>
  <c r="E83" i="13"/>
  <c r="J100" i="3"/>
  <c r="J83" i="12" s="1"/>
  <c r="J83" i="13" s="1"/>
  <c r="I85" i="13"/>
  <c r="E87" i="13"/>
  <c r="J104" i="3"/>
  <c r="J43" i="14" s="1"/>
  <c r="E106" i="3"/>
  <c r="G136" i="6"/>
  <c r="G134" i="6"/>
  <c r="K136" i="6"/>
  <c r="K134" i="6"/>
  <c r="G197" i="6"/>
  <c r="G195" i="6"/>
  <c r="K197" i="6"/>
  <c r="K195" i="6"/>
  <c r="H209" i="6"/>
  <c r="G212" i="6"/>
  <c r="G210" i="6"/>
  <c r="K212" i="6"/>
  <c r="K210" i="6"/>
  <c r="E11" i="13"/>
  <c r="J11" i="3"/>
  <c r="J11" i="12" s="1"/>
  <c r="J11" i="13" s="1"/>
  <c r="I12" i="13"/>
  <c r="E13" i="13"/>
  <c r="J13" i="3"/>
  <c r="J13" i="12" s="1"/>
  <c r="J13" i="13" s="1"/>
  <c r="I14" i="13"/>
  <c r="E15" i="13"/>
  <c r="J15" i="3"/>
  <c r="J15" i="12" s="1"/>
  <c r="J15" i="13" s="1"/>
  <c r="E16" i="13"/>
  <c r="J25" i="3"/>
  <c r="J16" i="12" s="1"/>
  <c r="J16" i="13" s="1"/>
  <c r="I17" i="13"/>
  <c r="E18" i="13"/>
  <c r="J27" i="3"/>
  <c r="J18" i="12" s="1"/>
  <c r="J18" i="13" s="1"/>
  <c r="I19" i="13"/>
  <c r="E20" i="13"/>
  <c r="J29" i="3"/>
  <c r="J20" i="12" s="1"/>
  <c r="J20" i="13" s="1"/>
  <c r="I21" i="13"/>
  <c r="E22" i="13"/>
  <c r="J31" i="3"/>
  <c r="J22" i="12" s="1"/>
  <c r="J22" i="13" s="1"/>
  <c r="I23" i="13"/>
  <c r="E25" i="13"/>
  <c r="J34" i="3"/>
  <c r="J25" i="12" s="1"/>
  <c r="J25" i="13" s="1"/>
  <c r="I26" i="13"/>
  <c r="I27" i="13"/>
  <c r="E28" i="13"/>
  <c r="J42" i="3"/>
  <c r="J28" i="12" s="1"/>
  <c r="J28" i="13" s="1"/>
  <c r="I29" i="13"/>
  <c r="E30" i="13"/>
  <c r="J44" i="3"/>
  <c r="J30" i="12" s="1"/>
  <c r="J30" i="13" s="1"/>
  <c r="E31" i="13"/>
  <c r="J48" i="3"/>
  <c r="J31" i="12" s="1"/>
  <c r="J31" i="13" s="1"/>
  <c r="I32" i="13"/>
  <c r="E33" i="13"/>
  <c r="J50" i="3"/>
  <c r="J33" i="12" s="1"/>
  <c r="J33" i="13" s="1"/>
  <c r="I34" i="13"/>
  <c r="E35" i="13"/>
  <c r="J52" i="3"/>
  <c r="J35" i="12" s="1"/>
  <c r="J35" i="13" s="1"/>
  <c r="I36" i="13"/>
  <c r="E37" i="13"/>
  <c r="J54" i="3"/>
  <c r="J37" i="12" s="1"/>
  <c r="J37" i="13" s="1"/>
  <c r="I38" i="13"/>
  <c r="E39" i="13"/>
  <c r="J56" i="3"/>
  <c r="J39" i="12" s="1"/>
  <c r="J39" i="13" s="1"/>
  <c r="I40" i="13"/>
  <c r="E41" i="13"/>
  <c r="J58" i="3"/>
  <c r="J41" i="12" s="1"/>
  <c r="J41" i="13" s="1"/>
  <c r="I42" i="13"/>
  <c r="E43" i="13"/>
  <c r="J60" i="3"/>
  <c r="J43" i="12" s="1"/>
  <c r="J43" i="13" s="1"/>
  <c r="I44" i="13"/>
  <c r="E45" i="13"/>
  <c r="J62" i="3"/>
  <c r="J45" i="12" s="1"/>
  <c r="J45" i="13" s="1"/>
  <c r="I46" i="13"/>
  <c r="E47" i="13"/>
  <c r="J64" i="3"/>
  <c r="J47" i="12" s="1"/>
  <c r="J47" i="13" s="1"/>
  <c r="I48" i="13"/>
  <c r="E49" i="13"/>
  <c r="J66" i="3"/>
  <c r="J49" i="12" s="1"/>
  <c r="J49" i="13" s="1"/>
  <c r="I51" i="13"/>
  <c r="E52" i="13"/>
  <c r="J69" i="3"/>
  <c r="J52" i="12" s="1"/>
  <c r="J52" i="13" s="1"/>
  <c r="I53" i="13"/>
  <c r="E54" i="13"/>
  <c r="J71" i="3"/>
  <c r="J54" i="12" s="1"/>
  <c r="J54" i="13" s="1"/>
  <c r="I55" i="13"/>
  <c r="E56" i="13"/>
  <c r="J73" i="3"/>
  <c r="J56" i="12" s="1"/>
  <c r="J56" i="13" s="1"/>
  <c r="I57" i="13"/>
  <c r="E58" i="13"/>
  <c r="J75" i="3"/>
  <c r="J58" i="12" s="1"/>
  <c r="J58" i="13" s="1"/>
  <c r="I38" i="14"/>
  <c r="I37" i="14"/>
  <c r="I60" i="13"/>
  <c r="E39" i="14"/>
  <c r="E61" i="13"/>
  <c r="J78" i="3"/>
  <c r="J61" i="12" s="1"/>
  <c r="I62" i="13"/>
  <c r="E63" i="13"/>
  <c r="J80" i="3"/>
  <c r="J63" i="12" s="1"/>
  <c r="J63" i="13" s="1"/>
  <c r="I64" i="13"/>
  <c r="E65" i="13"/>
  <c r="J82" i="3"/>
  <c r="J65" i="12" s="1"/>
  <c r="J65" i="13" s="1"/>
  <c r="I66" i="13"/>
  <c r="E67" i="13"/>
  <c r="J84" i="3"/>
  <c r="J67" i="12" s="1"/>
  <c r="J67" i="13" s="1"/>
  <c r="I50" i="14"/>
  <c r="I49" i="14"/>
  <c r="I68" i="13"/>
  <c r="E70" i="13"/>
  <c r="J87" i="3"/>
  <c r="J70" i="12" s="1"/>
  <c r="J70" i="13" s="1"/>
  <c r="I71" i="13"/>
  <c r="E72" i="13"/>
  <c r="J89" i="3"/>
  <c r="J72" i="12" s="1"/>
  <c r="J72" i="13" s="1"/>
  <c r="I73" i="13"/>
  <c r="E74" i="13"/>
  <c r="J91" i="3"/>
  <c r="J74" i="12" s="1"/>
  <c r="J74" i="13" s="1"/>
  <c r="I75" i="13"/>
  <c r="I77" i="13"/>
  <c r="E78" i="13"/>
  <c r="J95" i="3"/>
  <c r="J78" i="12" s="1"/>
  <c r="J78" i="13" s="1"/>
  <c r="I79" i="13"/>
  <c r="E80" i="13"/>
  <c r="J97" i="3"/>
  <c r="J80" i="12" s="1"/>
  <c r="J80" i="13" s="1"/>
  <c r="I81" i="13"/>
  <c r="E82" i="13"/>
  <c r="J99" i="3"/>
  <c r="J82" i="12" s="1"/>
  <c r="J82" i="13" s="1"/>
  <c r="I83" i="13"/>
  <c r="E85" i="13"/>
  <c r="J102" i="3"/>
  <c r="J85" i="12" s="1"/>
  <c r="J85" i="13" s="1"/>
  <c r="I87" i="13"/>
  <c r="D136" i="6"/>
  <c r="D134" i="6"/>
  <c r="F136" i="6"/>
  <c r="F134" i="6"/>
  <c r="H136" i="6"/>
  <c r="H134" i="6"/>
  <c r="D197" i="6"/>
  <c r="D195" i="6"/>
  <c r="F197" i="6"/>
  <c r="F195" i="6"/>
  <c r="H197" i="6"/>
  <c r="H195" i="6"/>
  <c r="D212" i="6"/>
  <c r="D210" i="6"/>
  <c r="F212" i="6"/>
  <c r="F210" i="6"/>
  <c r="H212" i="6"/>
  <c r="H210" i="6"/>
  <c r="Q9" i="8"/>
  <c r="L9" i="8"/>
  <c r="U9" i="8"/>
  <c r="P9" i="8"/>
  <c r="BA12" i="8"/>
  <c r="AY12" i="8"/>
  <c r="W12" i="8"/>
  <c r="AU12" i="8"/>
  <c r="BA14" i="8"/>
  <c r="AY14" i="8"/>
  <c r="W14" i="8"/>
  <c r="AU14" i="8"/>
  <c r="BA17" i="8"/>
  <c r="BB17" i="8" s="1"/>
  <c r="AY17" i="8"/>
  <c r="AZ17" i="8" s="1"/>
  <c r="K17" i="8"/>
  <c r="L17" i="8" s="1"/>
  <c r="AU18" i="8"/>
  <c r="AS18" i="8"/>
  <c r="AI12" i="8"/>
  <c r="AU13" i="8"/>
  <c r="AS13" i="8"/>
  <c r="AI14" i="8"/>
  <c r="AU15" i="8"/>
  <c r="AS15" i="8"/>
  <c r="N13" i="8"/>
  <c r="Z13" i="8"/>
  <c r="AL13" i="8"/>
  <c r="AX13" i="8"/>
  <c r="N15" i="8"/>
  <c r="Z15" i="8"/>
  <c r="AL15" i="8"/>
  <c r="AX15" i="8"/>
  <c r="E18" i="8"/>
  <c r="N18" i="8"/>
  <c r="Z18" i="8"/>
  <c r="AL18" i="8"/>
  <c r="AX18" i="8"/>
  <c r="G28" i="10"/>
  <c r="K28" i="10"/>
  <c r="G48" i="10"/>
  <c r="K48" i="10"/>
  <c r="G68" i="10"/>
  <c r="K68" i="10"/>
  <c r="G73" i="10"/>
  <c r="K73" i="10"/>
  <c r="G74" i="10"/>
  <c r="K74" i="10"/>
  <c r="G75" i="10"/>
  <c r="K75" i="10"/>
  <c r="G76" i="10"/>
  <c r="K76" i="10"/>
  <c r="G77" i="10"/>
  <c r="K77" i="10"/>
  <c r="G78" i="10"/>
  <c r="K78" i="10"/>
  <c r="G81" i="10"/>
  <c r="K81" i="10"/>
  <c r="G82" i="10"/>
  <c r="K82" i="10"/>
  <c r="G83" i="10"/>
  <c r="K83" i="10"/>
  <c r="G84" i="10"/>
  <c r="K84" i="10"/>
  <c r="G85" i="10"/>
  <c r="K85" i="10"/>
  <c r="G86" i="10"/>
  <c r="K86" i="10"/>
  <c r="I12" i="8"/>
  <c r="N12" i="8"/>
  <c r="U12" i="8"/>
  <c r="Z12" i="8"/>
  <c r="AG12" i="8"/>
  <c r="AL12" i="8"/>
  <c r="AS12" i="8"/>
  <c r="C13" i="8"/>
  <c r="D13" i="8" s="1"/>
  <c r="E13" i="8"/>
  <c r="H13" i="8"/>
  <c r="T13" i="8"/>
  <c r="AF13" i="8"/>
  <c r="I14" i="8"/>
  <c r="N14" i="8"/>
  <c r="U14" i="8"/>
  <c r="Z14" i="8"/>
  <c r="AG14" i="8"/>
  <c r="AL14" i="8"/>
  <c r="AS14" i="8"/>
  <c r="C15" i="8"/>
  <c r="D15" i="8" s="1"/>
  <c r="E15" i="8"/>
  <c r="H15" i="8"/>
  <c r="T15" i="8"/>
  <c r="AF15" i="8"/>
  <c r="I17" i="8"/>
  <c r="J17" i="8" s="1"/>
  <c r="N17" i="8"/>
  <c r="U17" i="8"/>
  <c r="V17" i="8" s="1"/>
  <c r="Z17" i="8"/>
  <c r="AG17" i="8"/>
  <c r="AH17" i="8" s="1"/>
  <c r="AL17" i="8"/>
  <c r="AS17" i="8"/>
  <c r="AT17" i="8" s="1"/>
  <c r="C18" i="8"/>
  <c r="H18" i="8"/>
  <c r="T18" i="8"/>
  <c r="AF18" i="8"/>
  <c r="D28" i="10"/>
  <c r="F28" i="10"/>
  <c r="H28" i="10"/>
  <c r="D48" i="10"/>
  <c r="F48" i="10"/>
  <c r="H48" i="10"/>
  <c r="D68" i="10"/>
  <c r="F68" i="10"/>
  <c r="H68" i="10"/>
  <c r="D73" i="10"/>
  <c r="F73" i="10"/>
  <c r="H73" i="10"/>
  <c r="D74" i="10"/>
  <c r="F74" i="10"/>
  <c r="H74" i="10"/>
  <c r="D75" i="10"/>
  <c r="F75" i="10"/>
  <c r="H75" i="10"/>
  <c r="D76" i="10"/>
  <c r="F76" i="10"/>
  <c r="H76" i="10"/>
  <c r="D77" i="10"/>
  <c r="F77" i="10"/>
  <c r="H77" i="10"/>
  <c r="D78" i="10"/>
  <c r="F78" i="10"/>
  <c r="H78" i="10"/>
  <c r="D81" i="10"/>
  <c r="F81" i="10"/>
  <c r="H81" i="10"/>
  <c r="D82" i="10"/>
  <c r="F82" i="10"/>
  <c r="H82" i="10"/>
  <c r="D83" i="10"/>
  <c r="F83" i="10"/>
  <c r="H83" i="10"/>
  <c r="D84" i="10"/>
  <c r="F84" i="10"/>
  <c r="H84" i="10"/>
  <c r="D85" i="10"/>
  <c r="F85" i="10"/>
  <c r="H85" i="10"/>
  <c r="D86" i="10"/>
  <c r="F86" i="10"/>
  <c r="H86" i="10"/>
  <c r="G11" i="13"/>
  <c r="K11" i="13"/>
  <c r="G12" i="13"/>
  <c r="K12" i="13"/>
  <c r="G13" i="13"/>
  <c r="K13" i="13"/>
  <c r="G14" i="13"/>
  <c r="K14" i="13"/>
  <c r="G15" i="13"/>
  <c r="K15" i="13"/>
  <c r="G16" i="13"/>
  <c r="K16" i="13"/>
  <c r="G17" i="13"/>
  <c r="K17" i="13"/>
  <c r="G18" i="13"/>
  <c r="K18" i="13"/>
  <c r="G19" i="13"/>
  <c r="K19" i="13"/>
  <c r="G20" i="13"/>
  <c r="K20" i="13"/>
  <c r="G21" i="13"/>
  <c r="K21" i="13"/>
  <c r="G22" i="13"/>
  <c r="K22" i="13"/>
  <c r="D23" i="13"/>
  <c r="F23" i="13"/>
  <c r="H23" i="13"/>
  <c r="D25" i="13"/>
  <c r="F25" i="13"/>
  <c r="H25" i="13"/>
  <c r="D26" i="13"/>
  <c r="F26" i="13"/>
  <c r="H26" i="13"/>
  <c r="D27" i="13"/>
  <c r="F27" i="13"/>
  <c r="H27" i="13"/>
  <c r="D28" i="13"/>
  <c r="F28" i="13"/>
  <c r="H28" i="13"/>
  <c r="D29" i="13"/>
  <c r="F29" i="13"/>
  <c r="H29" i="13"/>
  <c r="D30" i="13"/>
  <c r="F30" i="13"/>
  <c r="H30" i="13"/>
  <c r="D31" i="13"/>
  <c r="F31" i="13"/>
  <c r="H31" i="13"/>
  <c r="D32" i="13"/>
  <c r="F32" i="13"/>
  <c r="H32" i="13"/>
  <c r="D33" i="13"/>
  <c r="F33" i="13"/>
  <c r="H33" i="13"/>
  <c r="D34" i="13"/>
  <c r="F34" i="13"/>
  <c r="H34" i="13"/>
  <c r="D35" i="13"/>
  <c r="F35" i="13"/>
  <c r="H35" i="13"/>
  <c r="D36" i="13"/>
  <c r="F36" i="13"/>
  <c r="H36" i="13"/>
  <c r="D37" i="13"/>
  <c r="F37" i="13"/>
  <c r="H37" i="13"/>
  <c r="D38" i="13"/>
  <c r="F38" i="13"/>
  <c r="H38" i="13"/>
  <c r="D39" i="13"/>
  <c r="F39" i="13"/>
  <c r="H39" i="13"/>
  <c r="D40" i="13"/>
  <c r="F40" i="13"/>
  <c r="H40" i="13"/>
  <c r="D41" i="13"/>
  <c r="F41" i="13"/>
  <c r="H41" i="13"/>
  <c r="D42" i="13"/>
  <c r="F42" i="13"/>
  <c r="H42" i="13"/>
  <c r="D43" i="13"/>
  <c r="F43" i="13"/>
  <c r="H43" i="13"/>
  <c r="D44" i="13"/>
  <c r="F44" i="13"/>
  <c r="H44" i="13"/>
  <c r="D45" i="13"/>
  <c r="F45" i="13"/>
  <c r="H45" i="13"/>
  <c r="K45" i="13"/>
  <c r="F46" i="13"/>
  <c r="H46" i="13"/>
  <c r="D47" i="13"/>
  <c r="G47" i="13"/>
  <c r="K47" i="13"/>
  <c r="F48" i="13"/>
  <c r="H48" i="13"/>
  <c r="F49" i="13"/>
  <c r="H49" i="13"/>
  <c r="D51" i="13"/>
  <c r="G51" i="13"/>
  <c r="K51" i="13"/>
  <c r="F52" i="13"/>
  <c r="H52" i="13"/>
  <c r="D53" i="13"/>
  <c r="G53" i="13"/>
  <c r="K53" i="13"/>
  <c r="F54" i="13"/>
  <c r="H54" i="13"/>
  <c r="D55" i="13"/>
  <c r="G55" i="13"/>
  <c r="K55" i="13"/>
  <c r="F56" i="13"/>
  <c r="H56" i="13"/>
  <c r="D57" i="13"/>
  <c r="G57" i="13"/>
  <c r="K57" i="13"/>
  <c r="D58" i="13"/>
  <c r="G58" i="13"/>
  <c r="K58" i="13"/>
  <c r="F62" i="13"/>
  <c r="H62" i="13"/>
  <c r="D63" i="13"/>
  <c r="G63" i="13"/>
  <c r="K63" i="13"/>
  <c r="F64" i="13"/>
  <c r="H64" i="13"/>
  <c r="D65" i="13"/>
  <c r="G65" i="13"/>
  <c r="K65" i="13"/>
  <c r="F66" i="13"/>
  <c r="H66" i="13"/>
  <c r="D67" i="13"/>
  <c r="G67" i="13"/>
  <c r="K67" i="13"/>
  <c r="F70" i="13"/>
  <c r="H70" i="13"/>
  <c r="G71" i="13"/>
  <c r="K71" i="13"/>
  <c r="G73" i="13"/>
  <c r="K73" i="13"/>
  <c r="F75" i="13"/>
  <c r="H75" i="13"/>
  <c r="D77" i="13"/>
  <c r="F78" i="13"/>
  <c r="H78" i="13"/>
  <c r="D79" i="13"/>
  <c r="D11" i="13"/>
  <c r="F11" i="13"/>
  <c r="H11" i="13"/>
  <c r="D12" i="13"/>
  <c r="F12" i="13"/>
  <c r="H12" i="13"/>
  <c r="D13" i="13"/>
  <c r="F13" i="13"/>
  <c r="H13" i="13"/>
  <c r="D14" i="13"/>
  <c r="F14" i="13"/>
  <c r="H14" i="13"/>
  <c r="D15" i="13"/>
  <c r="F15" i="13"/>
  <c r="H15" i="13"/>
  <c r="D16" i="13"/>
  <c r="F16" i="13"/>
  <c r="H16" i="13"/>
  <c r="D17" i="13"/>
  <c r="F17" i="13"/>
  <c r="H17" i="13"/>
  <c r="D18" i="13"/>
  <c r="F18" i="13"/>
  <c r="H18" i="13"/>
  <c r="D19" i="13"/>
  <c r="F19" i="13"/>
  <c r="H19" i="13"/>
  <c r="D20" i="13"/>
  <c r="F20" i="13"/>
  <c r="H20" i="13"/>
  <c r="D21" i="13"/>
  <c r="F21" i="13"/>
  <c r="H21" i="13"/>
  <c r="D22" i="13"/>
  <c r="F22" i="13"/>
  <c r="H22" i="13"/>
  <c r="G23" i="13"/>
  <c r="K23" i="13"/>
  <c r="G25" i="13"/>
  <c r="K25" i="13"/>
  <c r="G26" i="13"/>
  <c r="K26" i="13"/>
  <c r="G27" i="13"/>
  <c r="K27" i="13"/>
  <c r="G28" i="13"/>
  <c r="K28" i="13"/>
  <c r="G29" i="13"/>
  <c r="K29" i="13"/>
  <c r="G30" i="13"/>
  <c r="K30" i="13"/>
  <c r="G31" i="13"/>
  <c r="K31" i="13"/>
  <c r="G32" i="13"/>
  <c r="K32" i="13"/>
  <c r="G33" i="13"/>
  <c r="K33" i="13"/>
  <c r="G34" i="13"/>
  <c r="K34" i="13"/>
  <c r="G35" i="13"/>
  <c r="K35" i="13"/>
  <c r="G36" i="13"/>
  <c r="K36" i="13"/>
  <c r="G37" i="13"/>
  <c r="K37" i="13"/>
  <c r="G38" i="13"/>
  <c r="K38" i="13"/>
  <c r="G39" i="13"/>
  <c r="K39" i="13"/>
  <c r="G40" i="13"/>
  <c r="K40" i="13"/>
  <c r="G41" i="13"/>
  <c r="K41" i="13"/>
  <c r="G42" i="13"/>
  <c r="K42" i="13"/>
  <c r="G43" i="13"/>
  <c r="K43" i="13"/>
  <c r="G44" i="13"/>
  <c r="K44" i="13"/>
  <c r="G45" i="13"/>
  <c r="D46" i="13"/>
  <c r="G46" i="13"/>
  <c r="K46" i="13"/>
  <c r="F47" i="13"/>
  <c r="H47" i="13"/>
  <c r="D48" i="13"/>
  <c r="G48" i="13"/>
  <c r="K48" i="13"/>
  <c r="D49" i="13"/>
  <c r="G49" i="13"/>
  <c r="K49" i="13"/>
  <c r="F51" i="13"/>
  <c r="H51" i="13"/>
  <c r="D52" i="13"/>
  <c r="G52" i="13"/>
  <c r="K52" i="13"/>
  <c r="F53" i="13"/>
  <c r="H53" i="13"/>
  <c r="D54" i="13"/>
  <c r="G54" i="13"/>
  <c r="K54" i="13"/>
  <c r="F55" i="13"/>
  <c r="H55" i="13"/>
  <c r="D56" i="13"/>
  <c r="G56" i="13"/>
  <c r="K56" i="13"/>
  <c r="F57" i="13"/>
  <c r="H57" i="13"/>
  <c r="F58" i="13"/>
  <c r="H58" i="13"/>
  <c r="D62" i="13"/>
  <c r="G62" i="13"/>
  <c r="K62" i="13"/>
  <c r="F63" i="13"/>
  <c r="H63" i="13"/>
  <c r="D64" i="13"/>
  <c r="G64" i="13"/>
  <c r="K64" i="13"/>
  <c r="F65" i="13"/>
  <c r="H65" i="13"/>
  <c r="D66" i="13"/>
  <c r="G66" i="13"/>
  <c r="K66" i="13"/>
  <c r="F67" i="13"/>
  <c r="H67" i="13"/>
  <c r="D70" i="13"/>
  <c r="G70" i="13"/>
  <c r="K70" i="13"/>
  <c r="G72" i="13"/>
  <c r="K72" i="13"/>
  <c r="G74" i="13"/>
  <c r="K74" i="13"/>
  <c r="D75" i="13"/>
  <c r="F77" i="13"/>
  <c r="H77" i="13"/>
  <c r="D78" i="13"/>
  <c r="F79" i="13"/>
  <c r="G38" i="14"/>
  <c r="G37" i="14"/>
  <c r="K38" i="14"/>
  <c r="K37" i="14"/>
  <c r="G39" i="14"/>
  <c r="K39" i="14"/>
  <c r="D50" i="14"/>
  <c r="D49" i="14"/>
  <c r="F50" i="14"/>
  <c r="F49" i="14"/>
  <c r="H50" i="14"/>
  <c r="H49" i="14"/>
  <c r="D71" i="13"/>
  <c r="F71" i="13"/>
  <c r="H71" i="13"/>
  <c r="D72" i="13"/>
  <c r="F72" i="13"/>
  <c r="H72" i="13"/>
  <c r="D73" i="13"/>
  <c r="F73" i="13"/>
  <c r="H73" i="13"/>
  <c r="D74" i="13"/>
  <c r="F74" i="13"/>
  <c r="H74" i="13"/>
  <c r="G75" i="13"/>
  <c r="K75" i="13"/>
  <c r="G77" i="13"/>
  <c r="K77" i="13"/>
  <c r="G78" i="13"/>
  <c r="K78" i="13"/>
  <c r="G79" i="13"/>
  <c r="K79" i="13"/>
  <c r="G80" i="13"/>
  <c r="K80" i="13"/>
  <c r="G81" i="13"/>
  <c r="K81" i="13"/>
  <c r="G82" i="13"/>
  <c r="K82" i="13"/>
  <c r="D83" i="13"/>
  <c r="F83" i="13"/>
  <c r="H83" i="13"/>
  <c r="D85" i="13"/>
  <c r="F85" i="13"/>
  <c r="H85" i="13"/>
  <c r="G87" i="13"/>
  <c r="K87" i="13"/>
  <c r="G90" i="12"/>
  <c r="K90" i="12"/>
  <c r="G60" i="13"/>
  <c r="K60" i="13"/>
  <c r="G61" i="13"/>
  <c r="K61" i="13"/>
  <c r="D68" i="13"/>
  <c r="F68" i="13"/>
  <c r="H68" i="13"/>
  <c r="D38" i="14"/>
  <c r="D37" i="14"/>
  <c r="F38" i="14"/>
  <c r="F37" i="14"/>
  <c r="H38" i="14"/>
  <c r="H37" i="14"/>
  <c r="D39" i="14"/>
  <c r="F39" i="14"/>
  <c r="H39" i="14"/>
  <c r="G50" i="14"/>
  <c r="G49" i="14"/>
  <c r="K50" i="14"/>
  <c r="K49" i="14"/>
  <c r="H79" i="13"/>
  <c r="D80" i="13"/>
  <c r="F80" i="13"/>
  <c r="H80" i="13"/>
  <c r="D81" i="13"/>
  <c r="F81" i="13"/>
  <c r="H81" i="13"/>
  <c r="D82" i="13"/>
  <c r="F82" i="13"/>
  <c r="H82" i="13"/>
  <c r="G83" i="13"/>
  <c r="K83" i="13"/>
  <c r="G85" i="13"/>
  <c r="K85" i="13"/>
  <c r="D87" i="13"/>
  <c r="F87" i="13"/>
  <c r="H87" i="13"/>
  <c r="D90" i="12"/>
  <c r="F90" i="12"/>
  <c r="H90" i="12"/>
  <c r="D60" i="13"/>
  <c r="F60" i="13"/>
  <c r="H60" i="13"/>
  <c r="D61" i="13"/>
  <c r="F61" i="13"/>
  <c r="H61" i="13"/>
  <c r="G68" i="13"/>
  <c r="K68" i="13"/>
  <c r="D137" i="15"/>
  <c r="D19" i="14" s="1"/>
  <c r="D135" i="15"/>
  <c r="F137" i="15"/>
  <c r="F19" i="14" s="1"/>
  <c r="F135" i="15"/>
  <c r="H137" i="15"/>
  <c r="H19" i="14" s="1"/>
  <c r="H135" i="15"/>
  <c r="G137" i="15"/>
  <c r="G19" i="14" s="1"/>
  <c r="G135" i="15"/>
  <c r="K137" i="15"/>
  <c r="K19" i="14" s="1"/>
  <c r="K135" i="15"/>
  <c r="L14" i="8" l="1"/>
  <c r="L12" i="8"/>
  <c r="I133" i="6"/>
  <c r="F75" i="14"/>
  <c r="K1171" i="2"/>
  <c r="D1171" i="2"/>
  <c r="BB14" i="8"/>
  <c r="G1171" i="2"/>
  <c r="F33" i="14"/>
  <c r="H32" i="14"/>
  <c r="D32" i="14"/>
  <c r="F31" i="14"/>
  <c r="H30" i="14"/>
  <c r="D30" i="14"/>
  <c r="F29" i="14"/>
  <c r="H28" i="14"/>
  <c r="H87" i="10"/>
  <c r="H85" i="11" s="1"/>
  <c r="D28" i="14"/>
  <c r="D87" i="10"/>
  <c r="D81" i="11" s="1"/>
  <c r="F94" i="10"/>
  <c r="H93" i="10"/>
  <c r="D93" i="10"/>
  <c r="F92" i="10"/>
  <c r="H91" i="10"/>
  <c r="D91" i="10"/>
  <c r="F90" i="10"/>
  <c r="H89" i="10"/>
  <c r="H79" i="10"/>
  <c r="D89" i="10"/>
  <c r="D79" i="10"/>
  <c r="H8" i="10"/>
  <c r="H28" i="11" s="1"/>
  <c r="D8" i="10"/>
  <c r="D68" i="11" s="1"/>
  <c r="W18" i="8"/>
  <c r="U18" i="8"/>
  <c r="AM17" i="8"/>
  <c r="AN17" i="8" s="1"/>
  <c r="AA17" i="8"/>
  <c r="AB17" i="8" s="1"/>
  <c r="Q17" i="8"/>
  <c r="R17" i="8" s="1"/>
  <c r="O17" i="8"/>
  <c r="P17" i="8" s="1"/>
  <c r="AI15" i="8"/>
  <c r="AG15" i="8"/>
  <c r="AH15" i="8" s="1"/>
  <c r="K15" i="8"/>
  <c r="L15" i="8" s="1"/>
  <c r="I15" i="8"/>
  <c r="J15" i="8" s="1"/>
  <c r="AO14" i="8"/>
  <c r="AM14" i="8"/>
  <c r="AN14" i="8" s="1"/>
  <c r="AC14" i="8"/>
  <c r="AA14" i="8"/>
  <c r="AB14" i="8" s="1"/>
  <c r="Q14" i="8"/>
  <c r="R14" i="8" s="1"/>
  <c r="O14" i="8"/>
  <c r="P14" i="8" s="1"/>
  <c r="AI13" i="8"/>
  <c r="AG13" i="8"/>
  <c r="AH13" i="8" s="1"/>
  <c r="K13" i="8"/>
  <c r="L13" i="8" s="1"/>
  <c r="I13" i="8"/>
  <c r="J13" i="8" s="1"/>
  <c r="AO12" i="8"/>
  <c r="AM12" i="8"/>
  <c r="AN12" i="8" s="1"/>
  <c r="AC12" i="8"/>
  <c r="AA12" i="8"/>
  <c r="AB12" i="8" s="1"/>
  <c r="Q12" i="8"/>
  <c r="R12" i="8" s="1"/>
  <c r="O12" i="8"/>
  <c r="P12" i="8" s="1"/>
  <c r="K33" i="14"/>
  <c r="K32" i="14"/>
  <c r="K31" i="14"/>
  <c r="K30" i="14"/>
  <c r="K29" i="14"/>
  <c r="K28" i="14"/>
  <c r="K87" i="10"/>
  <c r="K94" i="10"/>
  <c r="K93" i="10"/>
  <c r="K92" i="10"/>
  <c r="K91" i="10"/>
  <c r="K90" i="10"/>
  <c r="K89" i="10"/>
  <c r="K79" i="10"/>
  <c r="K8" i="10"/>
  <c r="K68" i="11" s="1"/>
  <c r="AY18" i="8"/>
  <c r="BA18" i="8"/>
  <c r="AA18" i="8"/>
  <c r="AC18" i="8"/>
  <c r="AO15" i="8"/>
  <c r="AM15" i="8"/>
  <c r="AN15" i="8" s="1"/>
  <c r="Q15" i="8"/>
  <c r="R15" i="8" s="1"/>
  <c r="O15" i="8"/>
  <c r="P15" i="8" s="1"/>
  <c r="AO13" i="8"/>
  <c r="AM13" i="8"/>
  <c r="AN13" i="8" s="1"/>
  <c r="Q13" i="8"/>
  <c r="R13" i="8" s="1"/>
  <c r="O13" i="8"/>
  <c r="P13" i="8" s="1"/>
  <c r="X14" i="8"/>
  <c r="AZ14" i="8"/>
  <c r="BB12" i="8"/>
  <c r="AA9" i="8"/>
  <c r="V9" i="8"/>
  <c r="W9" i="8"/>
  <c r="R9" i="8"/>
  <c r="J50" i="14"/>
  <c r="J49" i="14"/>
  <c r="J68" i="13"/>
  <c r="G1373" i="2"/>
  <c r="G1372" i="2"/>
  <c r="G70" i="14" s="1"/>
  <c r="I1169" i="2"/>
  <c r="I1162" i="2"/>
  <c r="I1135" i="2"/>
  <c r="I1122" i="2"/>
  <c r="I1216" i="2"/>
  <c r="J207" i="5"/>
  <c r="J79" i="4"/>
  <c r="I206" i="6"/>
  <c r="J201" i="5"/>
  <c r="J73" i="4"/>
  <c r="J1266" i="2"/>
  <c r="J1201" i="2"/>
  <c r="J1134" i="2"/>
  <c r="J196" i="5"/>
  <c r="J68" i="4"/>
  <c r="I191" i="6"/>
  <c r="I189" i="6"/>
  <c r="I188" i="6"/>
  <c r="I186" i="6"/>
  <c r="I184" i="6"/>
  <c r="I182" i="6"/>
  <c r="J182" i="5"/>
  <c r="J56" i="4"/>
  <c r="I178" i="6"/>
  <c r="I176" i="6"/>
  <c r="I174" i="6"/>
  <c r="I170" i="6"/>
  <c r="I168" i="6"/>
  <c r="I165" i="6"/>
  <c r="I163" i="6"/>
  <c r="J162" i="5"/>
  <c r="J1196" i="2"/>
  <c r="J159" i="5"/>
  <c r="J51" i="4"/>
  <c r="J1195" i="2"/>
  <c r="J157" i="5"/>
  <c r="J49" i="4"/>
  <c r="J1193" i="2"/>
  <c r="J1321" i="2"/>
  <c r="I154" i="6"/>
  <c r="I152" i="6"/>
  <c r="I146" i="6"/>
  <c r="I144" i="6"/>
  <c r="I1323" i="2"/>
  <c r="I64" i="14" s="1"/>
  <c r="I140" i="6"/>
  <c r="E99" i="4"/>
  <c r="I100" i="4"/>
  <c r="I136" i="6"/>
  <c r="I134" i="6"/>
  <c r="I130" i="6"/>
  <c r="I128" i="6"/>
  <c r="J1233" i="2"/>
  <c r="J1158" i="2"/>
  <c r="J1228" i="2"/>
  <c r="J1153" i="2"/>
  <c r="I125" i="6"/>
  <c r="I118" i="6"/>
  <c r="I116" i="6"/>
  <c r="J1225" i="2"/>
  <c r="J1146" i="2"/>
  <c r="I111" i="6"/>
  <c r="I109" i="6"/>
  <c r="J33" i="4"/>
  <c r="J93" i="5"/>
  <c r="J1223" i="2"/>
  <c r="J31" i="4"/>
  <c r="J91" i="5"/>
  <c r="I90" i="6"/>
  <c r="J27" i="4"/>
  <c r="J87" i="5"/>
  <c r="I86" i="6"/>
  <c r="J70" i="10"/>
  <c r="J23" i="4"/>
  <c r="J83" i="5"/>
  <c r="J1314" i="2"/>
  <c r="J1360" i="2" s="1"/>
  <c r="J1207" i="2"/>
  <c r="J1165" i="2"/>
  <c r="J67" i="10"/>
  <c r="J82" i="5"/>
  <c r="J1307" i="2"/>
  <c r="J66" i="10"/>
  <c r="J81" i="5"/>
  <c r="J1306" i="2"/>
  <c r="J65" i="10"/>
  <c r="J80" i="5"/>
  <c r="J1305" i="2"/>
  <c r="I78" i="6"/>
  <c r="I76" i="6"/>
  <c r="I74" i="6"/>
  <c r="J58" i="10"/>
  <c r="J73" i="5"/>
  <c r="J1298" i="2"/>
  <c r="J57" i="10"/>
  <c r="J72" i="5"/>
  <c r="J1297" i="2"/>
  <c r="J56" i="10"/>
  <c r="J71" i="5"/>
  <c r="J1296" i="2"/>
  <c r="J55" i="10"/>
  <c r="J70" i="5"/>
  <c r="J1295" i="2"/>
  <c r="J54" i="10"/>
  <c r="J69" i="5"/>
  <c r="J1294" i="2"/>
  <c r="J53" i="10"/>
  <c r="J68" i="5"/>
  <c r="J1293" i="2"/>
  <c r="J64" i="15"/>
  <c r="I67" i="6"/>
  <c r="J43" i="15"/>
  <c r="I66" i="6"/>
  <c r="J22" i="15"/>
  <c r="I65" i="6"/>
  <c r="I63" i="6"/>
  <c r="I61" i="6"/>
  <c r="I59" i="6"/>
  <c r="I57" i="6"/>
  <c r="I55" i="6"/>
  <c r="I53" i="6"/>
  <c r="J121" i="15"/>
  <c r="I52" i="6"/>
  <c r="J100" i="15"/>
  <c r="I51" i="6"/>
  <c r="J79" i="15"/>
  <c r="I50" i="6"/>
  <c r="J57" i="15"/>
  <c r="I49" i="6"/>
  <c r="J36" i="15"/>
  <c r="I48" i="6"/>
  <c r="J15" i="15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J177" i="15"/>
  <c r="J115" i="15"/>
  <c r="J1353" i="2"/>
  <c r="E173" i="15"/>
  <c r="E114" i="15"/>
  <c r="E172" i="15" s="1"/>
  <c r="E24" i="14" s="1"/>
  <c r="I34" i="6"/>
  <c r="J170" i="15"/>
  <c r="J166" i="15"/>
  <c r="J93" i="15"/>
  <c r="I33" i="6"/>
  <c r="J163" i="15"/>
  <c r="J159" i="15"/>
  <c r="J72" i="15"/>
  <c r="I32" i="6"/>
  <c r="J156" i="15"/>
  <c r="J152" i="15"/>
  <c r="J50" i="15"/>
  <c r="J151" i="15" s="1"/>
  <c r="J21" i="14" s="1"/>
  <c r="I31" i="6"/>
  <c r="J149" i="15"/>
  <c r="J145" i="15"/>
  <c r="J29" i="15"/>
  <c r="J144" i="15" s="1"/>
  <c r="J20" i="14" s="1"/>
  <c r="I30" i="6"/>
  <c r="J142" i="15"/>
  <c r="J138" i="15"/>
  <c r="J8" i="15"/>
  <c r="I73" i="10"/>
  <c r="I28" i="10"/>
  <c r="E97" i="4"/>
  <c r="I1211" i="2"/>
  <c r="J1331" i="2"/>
  <c r="J1245" i="2"/>
  <c r="J1255" i="2"/>
  <c r="J1120" i="2"/>
  <c r="J1352" i="2"/>
  <c r="I22" i="6"/>
  <c r="J1340" i="2"/>
  <c r="I21" i="6"/>
  <c r="I20" i="6"/>
  <c r="J1336" i="2"/>
  <c r="J1115" i="2"/>
  <c r="J1346" i="2"/>
  <c r="J1334" i="2"/>
  <c r="J1251" i="2"/>
  <c r="J1248" i="2"/>
  <c r="J1114" i="2"/>
  <c r="I18" i="6"/>
  <c r="J14" i="5"/>
  <c r="J1327" i="2"/>
  <c r="I13" i="6"/>
  <c r="I1237" i="2"/>
  <c r="I11" i="6"/>
  <c r="I1342" i="2"/>
  <c r="J42" i="14"/>
  <c r="H75" i="14"/>
  <c r="J218" i="5"/>
  <c r="J90" i="4"/>
  <c r="J214" i="5"/>
  <c r="J86" i="4"/>
  <c r="J1369" i="2"/>
  <c r="J1215" i="2"/>
  <c r="J1101" i="2"/>
  <c r="J212" i="5"/>
  <c r="J84" i="4"/>
  <c r="E1370" i="2"/>
  <c r="E212" i="6"/>
  <c r="E210" i="6"/>
  <c r="J208" i="5"/>
  <c r="J80" i="4"/>
  <c r="J1102" i="2"/>
  <c r="I207" i="6"/>
  <c r="J204" i="5"/>
  <c r="J76" i="4"/>
  <c r="J202" i="5"/>
  <c r="J74" i="4"/>
  <c r="I201" i="6"/>
  <c r="I200" i="6"/>
  <c r="I192" i="6"/>
  <c r="J192" i="5"/>
  <c r="J66" i="4"/>
  <c r="J1265" i="2"/>
  <c r="J1198" i="2"/>
  <c r="J1133" i="2"/>
  <c r="J191" i="5"/>
  <c r="J65" i="4"/>
  <c r="J181" i="5"/>
  <c r="J55" i="4"/>
  <c r="J1264" i="2"/>
  <c r="J1197" i="2"/>
  <c r="J1132" i="2"/>
  <c r="I172" i="6"/>
  <c r="I167" i="6"/>
  <c r="J163" i="5"/>
  <c r="J52" i="4"/>
  <c r="J1262" i="2"/>
  <c r="J1127" i="2"/>
  <c r="I160" i="6"/>
  <c r="I159" i="6"/>
  <c r="I157" i="6"/>
  <c r="J156" i="5"/>
  <c r="J48" i="4"/>
  <c r="AO17" i="8" s="1"/>
  <c r="AP17" i="8" s="1"/>
  <c r="J1261" i="2"/>
  <c r="J1191" i="2"/>
  <c r="J1129" i="2"/>
  <c r="I153" i="6"/>
  <c r="J154" i="5"/>
  <c r="J47" i="4"/>
  <c r="J1332" i="2"/>
  <c r="J1320" i="2"/>
  <c r="J1246" i="2"/>
  <c r="J1189" i="2"/>
  <c r="J1128" i="2"/>
  <c r="I151" i="6"/>
  <c r="I149" i="6"/>
  <c r="I147" i="6"/>
  <c r="I145" i="6"/>
  <c r="I143" i="6"/>
  <c r="E1203" i="2"/>
  <c r="E1267" i="2"/>
  <c r="I99" i="4"/>
  <c r="E100" i="4"/>
  <c r="J136" i="5"/>
  <c r="J40" i="4"/>
  <c r="E136" i="6"/>
  <c r="E134" i="6"/>
  <c r="J133" i="5"/>
  <c r="J1210" i="2"/>
  <c r="J1168" i="2"/>
  <c r="J1151" i="2"/>
  <c r="I129" i="6"/>
  <c r="I127" i="6"/>
  <c r="J1229" i="2"/>
  <c r="J1154" i="2"/>
  <c r="J125" i="5"/>
  <c r="J1312" i="2"/>
  <c r="J1227" i="2"/>
  <c r="J1152" i="2"/>
  <c r="I124" i="6"/>
  <c r="I122" i="6"/>
  <c r="I120" i="6"/>
  <c r="J118" i="5"/>
  <c r="J1209" i="2"/>
  <c r="J1167" i="2"/>
  <c r="J1148" i="2"/>
  <c r="I114" i="6"/>
  <c r="J1226" i="2"/>
  <c r="J1147" i="2"/>
  <c r="I112" i="6"/>
  <c r="I110" i="6"/>
  <c r="I108" i="6"/>
  <c r="J34" i="4"/>
  <c r="J94" i="5"/>
  <c r="J1308" i="2"/>
  <c r="J1142" i="2"/>
  <c r="I93" i="6"/>
  <c r="J30" i="4"/>
  <c r="J90" i="5"/>
  <c r="I89" i="6"/>
  <c r="J26" i="4"/>
  <c r="J86" i="5"/>
  <c r="I85" i="6"/>
  <c r="I82" i="6"/>
  <c r="I80" i="6"/>
  <c r="J64" i="10"/>
  <c r="J79" i="5"/>
  <c r="J1304" i="2"/>
  <c r="J63" i="10"/>
  <c r="J78" i="5"/>
  <c r="J1303" i="2"/>
  <c r="J62" i="10"/>
  <c r="J77" i="5"/>
  <c r="J1302" i="2"/>
  <c r="J61" i="10"/>
  <c r="J76" i="5"/>
  <c r="J1301" i="2"/>
  <c r="J60" i="10"/>
  <c r="J75" i="5"/>
  <c r="J1300" i="2"/>
  <c r="J59" i="10"/>
  <c r="J74" i="5"/>
  <c r="J1299" i="2"/>
  <c r="I72" i="6"/>
  <c r="I70" i="6"/>
  <c r="J107" i="15"/>
  <c r="I68" i="6"/>
  <c r="J52" i="10"/>
  <c r="J67" i="5"/>
  <c r="J1292" i="2"/>
  <c r="J50" i="10"/>
  <c r="J65" i="5"/>
  <c r="J1290" i="2"/>
  <c r="J1141" i="2"/>
  <c r="J47" i="10"/>
  <c r="J64" i="5"/>
  <c r="J1289" i="2"/>
  <c r="J46" i="10"/>
  <c r="J63" i="5"/>
  <c r="J1288" i="2"/>
  <c r="J45" i="10"/>
  <c r="J62" i="5"/>
  <c r="J1287" i="2"/>
  <c r="J44" i="10"/>
  <c r="J61" i="5"/>
  <c r="J1286" i="2"/>
  <c r="J43" i="10"/>
  <c r="J60" i="5"/>
  <c r="J1285" i="2"/>
  <c r="J42" i="10"/>
  <c r="J59" i="5"/>
  <c r="J1284" i="2"/>
  <c r="J41" i="10"/>
  <c r="J58" i="5"/>
  <c r="J1283" i="2"/>
  <c r="J40" i="10"/>
  <c r="J57" i="5"/>
  <c r="J1282" i="2"/>
  <c r="J39" i="10"/>
  <c r="J56" i="5"/>
  <c r="J1281" i="2"/>
  <c r="J38" i="10"/>
  <c r="J55" i="5"/>
  <c r="J1280" i="2"/>
  <c r="J37" i="10"/>
  <c r="J54" i="5"/>
  <c r="J1279" i="2"/>
  <c r="J36" i="10"/>
  <c r="J53" i="5"/>
  <c r="J1278" i="2"/>
  <c r="E86" i="10"/>
  <c r="J34" i="10"/>
  <c r="J51" i="5"/>
  <c r="J1276" i="2"/>
  <c r="E84" i="10"/>
  <c r="J32" i="10"/>
  <c r="J49" i="5"/>
  <c r="J1274" i="2"/>
  <c r="E82" i="10"/>
  <c r="J30" i="10"/>
  <c r="J47" i="5"/>
  <c r="J1272" i="2"/>
  <c r="J1140" i="2"/>
  <c r="J27" i="10"/>
  <c r="J46" i="5"/>
  <c r="J25" i="10"/>
  <c r="J44" i="5"/>
  <c r="J23" i="10"/>
  <c r="J42" i="5"/>
  <c r="J21" i="10"/>
  <c r="J40" i="5"/>
  <c r="J19" i="10"/>
  <c r="J38" i="5"/>
  <c r="J17" i="10"/>
  <c r="J36" i="5"/>
  <c r="J176" i="15"/>
  <c r="J15" i="10"/>
  <c r="J22" i="4"/>
  <c r="J34" i="5"/>
  <c r="J169" i="15"/>
  <c r="I165" i="15"/>
  <c r="I23" i="14" s="1"/>
  <c r="J14" i="10"/>
  <c r="J21" i="4"/>
  <c r="J33" i="5"/>
  <c r="J162" i="15"/>
  <c r="I158" i="15"/>
  <c r="I22" i="14" s="1"/>
  <c r="J13" i="10"/>
  <c r="J20" i="4"/>
  <c r="J32" i="5"/>
  <c r="J155" i="15"/>
  <c r="I151" i="15"/>
  <c r="I21" i="14" s="1"/>
  <c r="J12" i="10"/>
  <c r="J19" i="4"/>
  <c r="J31" i="5"/>
  <c r="J148" i="15"/>
  <c r="I144" i="15"/>
  <c r="I20" i="14" s="1"/>
  <c r="J11" i="10"/>
  <c r="J18" i="4"/>
  <c r="J30" i="5"/>
  <c r="J141" i="15"/>
  <c r="I137" i="15"/>
  <c r="I19" i="14" s="1"/>
  <c r="J10" i="10"/>
  <c r="J17" i="4"/>
  <c r="J29" i="5"/>
  <c r="J1222" i="2"/>
  <c r="E73" i="10"/>
  <c r="E28" i="10"/>
  <c r="I28" i="6"/>
  <c r="J15" i="4"/>
  <c r="J25" i="5"/>
  <c r="J1206" i="2"/>
  <c r="E1211" i="2"/>
  <c r="J14" i="4"/>
  <c r="J24" i="5"/>
  <c r="J1254" i="2"/>
  <c r="J1119" i="2"/>
  <c r="J1351" i="2"/>
  <c r="J1341" i="2"/>
  <c r="J1339" i="2"/>
  <c r="J1252" i="2"/>
  <c r="J1117" i="2"/>
  <c r="J13" i="4"/>
  <c r="J19" i="5"/>
  <c r="J1250" i="2"/>
  <c r="J1335" i="2"/>
  <c r="J1249" i="2"/>
  <c r="J12" i="4"/>
  <c r="J18" i="5"/>
  <c r="J10" i="4"/>
  <c r="J15" i="5"/>
  <c r="J1220" i="2"/>
  <c r="I14" i="6"/>
  <c r="J12" i="5"/>
  <c r="J1219" i="2"/>
  <c r="J1176" i="2"/>
  <c r="J1139" i="2"/>
  <c r="E1237" i="2"/>
  <c r="J9" i="4"/>
  <c r="J9" i="5"/>
  <c r="J1326" i="2"/>
  <c r="J1241" i="2"/>
  <c r="J1175" i="2"/>
  <c r="J1177" i="2" s="1"/>
  <c r="J1138" i="2"/>
  <c r="J1112" i="2"/>
  <c r="E1177" i="2"/>
  <c r="E1258" i="2"/>
  <c r="E1269" i="2" s="1"/>
  <c r="H33" i="14"/>
  <c r="H86" i="11"/>
  <c r="D33" i="14"/>
  <c r="D86" i="11"/>
  <c r="F32" i="14"/>
  <c r="F85" i="11"/>
  <c r="H31" i="14"/>
  <c r="H84" i="11"/>
  <c r="D31" i="14"/>
  <c r="D84" i="11"/>
  <c r="F30" i="14"/>
  <c r="F83" i="11"/>
  <c r="H29" i="14"/>
  <c r="H82" i="11"/>
  <c r="D29" i="14"/>
  <c r="D82" i="11"/>
  <c r="F28" i="14"/>
  <c r="F81" i="11"/>
  <c r="F87" i="10"/>
  <c r="F86" i="11" s="1"/>
  <c r="H78" i="11"/>
  <c r="H94" i="10"/>
  <c r="D78" i="11"/>
  <c r="D94" i="10"/>
  <c r="F93" i="10"/>
  <c r="H76" i="11"/>
  <c r="H92" i="10"/>
  <c r="D76" i="11"/>
  <c r="D92" i="10"/>
  <c r="F91" i="10"/>
  <c r="H74" i="11"/>
  <c r="H90" i="10"/>
  <c r="D74" i="11"/>
  <c r="D90" i="10"/>
  <c r="F89" i="10"/>
  <c r="F79" i="10"/>
  <c r="H48" i="11"/>
  <c r="D48" i="11"/>
  <c r="F28" i="11"/>
  <c r="F8" i="10"/>
  <c r="AI18" i="8"/>
  <c r="AG18" i="8"/>
  <c r="K18" i="8"/>
  <c r="I18" i="8"/>
  <c r="W15" i="8"/>
  <c r="X15" i="8" s="1"/>
  <c r="U15" i="8"/>
  <c r="V15" i="8" s="1"/>
  <c r="AT14" i="8"/>
  <c r="AH14" i="8"/>
  <c r="V14" i="8"/>
  <c r="J14" i="8"/>
  <c r="W13" i="8"/>
  <c r="X13" i="8" s="1"/>
  <c r="U13" i="8"/>
  <c r="V13" i="8" s="1"/>
  <c r="AT12" i="8"/>
  <c r="AH12" i="8"/>
  <c r="V12" i="8"/>
  <c r="J12" i="8"/>
  <c r="G33" i="14"/>
  <c r="G32" i="14"/>
  <c r="G31" i="14"/>
  <c r="G30" i="14"/>
  <c r="G29" i="14"/>
  <c r="G28" i="14"/>
  <c r="G87" i="10"/>
  <c r="G94" i="10"/>
  <c r="G93" i="10"/>
  <c r="G92" i="10"/>
  <c r="G91" i="10"/>
  <c r="G90" i="10"/>
  <c r="G89" i="10"/>
  <c r="G79" i="10"/>
  <c r="G8" i="10"/>
  <c r="G68" i="11" s="1"/>
  <c r="AM18" i="8"/>
  <c r="AO18" i="8"/>
  <c r="O18" i="8"/>
  <c r="Q18" i="8"/>
  <c r="BA15" i="8"/>
  <c r="BB15" i="8" s="1"/>
  <c r="AY15" i="8"/>
  <c r="AZ15" i="8" s="1"/>
  <c r="AC15" i="8"/>
  <c r="AA15" i="8"/>
  <c r="AB15" i="8" s="1"/>
  <c r="BA13" i="8"/>
  <c r="BB13" i="8" s="1"/>
  <c r="AY13" i="8"/>
  <c r="AZ13" i="8" s="1"/>
  <c r="AC13" i="8"/>
  <c r="AA13" i="8"/>
  <c r="AB13" i="8" s="1"/>
  <c r="AT15" i="8"/>
  <c r="AT13" i="8"/>
  <c r="X12" i="8"/>
  <c r="AZ12" i="8"/>
  <c r="J39" i="14"/>
  <c r="J61" i="13"/>
  <c r="J87" i="12"/>
  <c r="J87" i="13" s="1"/>
  <c r="J106" i="3"/>
  <c r="J38" i="14"/>
  <c r="J37" i="14"/>
  <c r="J60" i="13"/>
  <c r="K1373" i="2"/>
  <c r="K1372" i="2"/>
  <c r="K70" i="14" s="1"/>
  <c r="E1169" i="2"/>
  <c r="E1162" i="2"/>
  <c r="E1135" i="2"/>
  <c r="E1122" i="2"/>
  <c r="I1370" i="2"/>
  <c r="I212" i="6"/>
  <c r="I210" i="6"/>
  <c r="J209" i="5"/>
  <c r="J81" i="4"/>
  <c r="I208" i="6"/>
  <c r="J205" i="5"/>
  <c r="J77" i="4"/>
  <c r="I204" i="6"/>
  <c r="I203" i="6"/>
  <c r="I202" i="6"/>
  <c r="J200" i="5"/>
  <c r="J72" i="4"/>
  <c r="AU17" i="8" s="1"/>
  <c r="AV17" i="8" s="1"/>
  <c r="I197" i="6"/>
  <c r="I195" i="6"/>
  <c r="I193" i="6"/>
  <c r="I190" i="6"/>
  <c r="I187" i="6"/>
  <c r="I185" i="6"/>
  <c r="I183" i="6"/>
  <c r="I181" i="6"/>
  <c r="I179" i="6"/>
  <c r="I171" i="6"/>
  <c r="J169" i="5"/>
  <c r="J54" i="4"/>
  <c r="I166" i="6"/>
  <c r="I161" i="6"/>
  <c r="J161" i="5"/>
  <c r="J1333" i="2"/>
  <c r="J1247" i="2"/>
  <c r="I158" i="6"/>
  <c r="I156" i="6"/>
  <c r="I150" i="6"/>
  <c r="I148" i="6"/>
  <c r="I142" i="6"/>
  <c r="I1203" i="2"/>
  <c r="I1267" i="2"/>
  <c r="J66" i="7"/>
  <c r="J141" i="5"/>
  <c r="J45" i="4"/>
  <c r="I101" i="4"/>
  <c r="J127" i="5"/>
  <c r="J1313" i="2"/>
  <c r="J1236" i="2"/>
  <c r="J1161" i="2"/>
  <c r="J1315" i="2"/>
  <c r="J1234" i="2"/>
  <c r="J1159" i="2"/>
  <c r="J1232" i="2"/>
  <c r="J1157" i="2"/>
  <c r="J1230" i="2"/>
  <c r="J1155" i="2"/>
  <c r="I126" i="6"/>
  <c r="J37" i="4"/>
  <c r="J124" i="5"/>
  <c r="J1311" i="2"/>
  <c r="J1150" i="2"/>
  <c r="I123" i="6"/>
  <c r="I121" i="6"/>
  <c r="J36" i="4"/>
  <c r="J119" i="5"/>
  <c r="J1310" i="2"/>
  <c r="J1149" i="2"/>
  <c r="I115" i="6"/>
  <c r="I113" i="6"/>
  <c r="J110" i="5"/>
  <c r="J1208" i="2"/>
  <c r="J1166" i="2"/>
  <c r="J1143" i="2"/>
  <c r="I106" i="6"/>
  <c r="I104" i="6"/>
  <c r="I102" i="6"/>
  <c r="I100" i="6"/>
  <c r="I98" i="6"/>
  <c r="I96" i="6"/>
  <c r="I94" i="6"/>
  <c r="I92" i="6"/>
  <c r="J29" i="4"/>
  <c r="J89" i="5"/>
  <c r="I88" i="6"/>
  <c r="J25" i="4"/>
  <c r="J85" i="5"/>
  <c r="I84" i="6"/>
  <c r="I79" i="6"/>
  <c r="I77" i="6"/>
  <c r="I75" i="6"/>
  <c r="I68" i="10"/>
  <c r="I64" i="6"/>
  <c r="I62" i="6"/>
  <c r="I60" i="6"/>
  <c r="I58" i="6"/>
  <c r="I56" i="6"/>
  <c r="I54" i="6"/>
  <c r="I86" i="10"/>
  <c r="I85" i="10"/>
  <c r="I84" i="10"/>
  <c r="I83" i="10"/>
  <c r="I82" i="10"/>
  <c r="I1316" i="2"/>
  <c r="I1359" i="2"/>
  <c r="I1367" i="2" s="1"/>
  <c r="I81" i="10"/>
  <c r="I48" i="10"/>
  <c r="J117" i="15"/>
  <c r="J175" i="15" s="1"/>
  <c r="J1355" i="2"/>
  <c r="I78" i="10"/>
  <c r="J168" i="15"/>
  <c r="I77" i="10"/>
  <c r="J161" i="15"/>
  <c r="I76" i="10"/>
  <c r="J154" i="15"/>
  <c r="I75" i="10"/>
  <c r="J147" i="15"/>
  <c r="I74" i="10"/>
  <c r="J140" i="15"/>
  <c r="E137" i="15"/>
  <c r="E19" i="14" s="1"/>
  <c r="E135" i="15"/>
  <c r="I29" i="6"/>
  <c r="J46" i="14"/>
  <c r="J65" i="7"/>
  <c r="J16" i="4"/>
  <c r="J97" i="4" s="1"/>
  <c r="J28" i="5"/>
  <c r="I27" i="6"/>
  <c r="I25" i="6"/>
  <c r="I24" i="6"/>
  <c r="J1350" i="2"/>
  <c r="J1349" i="2"/>
  <c r="J1348" i="2"/>
  <c r="J1338" i="2"/>
  <c r="J1116" i="2"/>
  <c r="J1347" i="2"/>
  <c r="I19" i="6"/>
  <c r="J11" i="4"/>
  <c r="J17" i="5"/>
  <c r="J1221" i="2"/>
  <c r="I16" i="6"/>
  <c r="J1328" i="2"/>
  <c r="J1242" i="2"/>
  <c r="J1113" i="2"/>
  <c r="I15" i="6"/>
  <c r="I12" i="6"/>
  <c r="I1177" i="2"/>
  <c r="I1258" i="2"/>
  <c r="I1269" i="2" s="1"/>
  <c r="I9" i="6"/>
  <c r="J226" i="5"/>
  <c r="J92" i="4"/>
  <c r="J216" i="5"/>
  <c r="J88" i="4"/>
  <c r="J64" i="7"/>
  <c r="J210" i="5"/>
  <c r="J82" i="4"/>
  <c r="J1368" i="2"/>
  <c r="J1370" i="2" s="1"/>
  <c r="J1214" i="2"/>
  <c r="J1216" i="2" s="1"/>
  <c r="I209" i="6"/>
  <c r="J206" i="5"/>
  <c r="J78" i="4"/>
  <c r="I205" i="6"/>
  <c r="J203" i="5"/>
  <c r="J203" i="6" s="1"/>
  <c r="J75" i="4"/>
  <c r="J63" i="7"/>
  <c r="J197" i="5"/>
  <c r="J149" i="6" s="1"/>
  <c r="J69" i="4"/>
  <c r="E197" i="6"/>
  <c r="E195" i="6"/>
  <c r="I194" i="6"/>
  <c r="J193" i="5"/>
  <c r="J191" i="6" s="1"/>
  <c r="J67" i="4"/>
  <c r="J190" i="5"/>
  <c r="J188" i="6" s="1"/>
  <c r="J64" i="4"/>
  <c r="J189" i="5"/>
  <c r="J187" i="6" s="1"/>
  <c r="J63" i="4"/>
  <c r="J188" i="5"/>
  <c r="J186" i="6" s="1"/>
  <c r="J62" i="4"/>
  <c r="J187" i="5"/>
  <c r="J185" i="6" s="1"/>
  <c r="J61" i="4"/>
  <c r="J186" i="5"/>
  <c r="J184" i="6" s="1"/>
  <c r="J60" i="4"/>
  <c r="J185" i="5"/>
  <c r="J183" i="6" s="1"/>
  <c r="J59" i="4"/>
  <c r="J184" i="5"/>
  <c r="J182" i="6" s="1"/>
  <c r="J58" i="4"/>
  <c r="J183" i="5"/>
  <c r="J181" i="6" s="1"/>
  <c r="J57" i="4"/>
  <c r="I180" i="6"/>
  <c r="I177" i="6"/>
  <c r="I175" i="6"/>
  <c r="I173" i="6"/>
  <c r="J171" i="6"/>
  <c r="I169" i="6"/>
  <c r="J168" i="5"/>
  <c r="J166" i="6" s="1"/>
  <c r="J53" i="4"/>
  <c r="J1263" i="2"/>
  <c r="J1131" i="2"/>
  <c r="I164" i="6"/>
  <c r="I162" i="6"/>
  <c r="J160" i="5"/>
  <c r="J158" i="6" s="1"/>
  <c r="J1329" i="2"/>
  <c r="J1243" i="2"/>
  <c r="J1126" i="2"/>
  <c r="J158" i="5"/>
  <c r="J156" i="6" s="1"/>
  <c r="J50" i="4"/>
  <c r="J1194" i="2"/>
  <c r="J1130" i="2"/>
  <c r="I155" i="6"/>
  <c r="J1322" i="2"/>
  <c r="J152" i="5"/>
  <c r="J150" i="6" s="1"/>
  <c r="J1188" i="2"/>
  <c r="J148" i="6"/>
  <c r="J148" i="5"/>
  <c r="J146" i="6" s="1"/>
  <c r="J1187" i="2"/>
  <c r="J144" i="6"/>
  <c r="J144" i="5"/>
  <c r="J142" i="6" s="1"/>
  <c r="J1186" i="2"/>
  <c r="J142" i="5"/>
  <c r="J140" i="6" s="1"/>
  <c r="J46" i="4"/>
  <c r="AI17" i="8" s="1"/>
  <c r="AJ17" i="8" s="1"/>
  <c r="J1319" i="2"/>
  <c r="J1323" i="2" s="1"/>
  <c r="J64" i="14" s="1"/>
  <c r="J1260" i="2"/>
  <c r="J1185" i="2"/>
  <c r="J1125" i="2"/>
  <c r="J1135" i="2" s="1"/>
  <c r="E1323" i="2"/>
  <c r="E64" i="14" s="1"/>
  <c r="I139" i="6"/>
  <c r="J138" i="5"/>
  <c r="J42" i="4"/>
  <c r="J62" i="7"/>
  <c r="E17" i="8"/>
  <c r="F15" i="8" s="1"/>
  <c r="J134" i="5"/>
  <c r="J128" i="6" s="1"/>
  <c r="J38" i="4"/>
  <c r="J1100" i="2"/>
  <c r="E101" i="4"/>
  <c r="I132" i="6"/>
  <c r="J1235" i="2"/>
  <c r="J1160" i="2"/>
  <c r="J1231" i="2"/>
  <c r="J1156" i="2"/>
  <c r="I119" i="6"/>
  <c r="I117" i="6"/>
  <c r="J1224" i="2"/>
  <c r="J1145" i="2"/>
  <c r="J35" i="4"/>
  <c r="J111" i="5"/>
  <c r="J1309" i="2"/>
  <c r="J1144" i="2"/>
  <c r="J109" i="6"/>
  <c r="I107" i="6"/>
  <c r="I105" i="6"/>
  <c r="I103" i="6"/>
  <c r="I101" i="6"/>
  <c r="I99" i="6"/>
  <c r="I97" i="6"/>
  <c r="I95" i="6"/>
  <c r="J32" i="4"/>
  <c r="J92" i="5"/>
  <c r="I91" i="6"/>
  <c r="J28" i="4"/>
  <c r="J88" i="5"/>
  <c r="J88" i="6" s="1"/>
  <c r="I87" i="6"/>
  <c r="J24" i="4"/>
  <c r="J84" i="5"/>
  <c r="I83" i="6"/>
  <c r="I81" i="6"/>
  <c r="I73" i="6"/>
  <c r="I71" i="6"/>
  <c r="J128" i="15"/>
  <c r="I69" i="6"/>
  <c r="J86" i="15"/>
  <c r="J51" i="10"/>
  <c r="J66" i="5"/>
  <c r="J66" i="6" s="1"/>
  <c r="J1291" i="2"/>
  <c r="E68" i="10"/>
  <c r="J35" i="10"/>
  <c r="J52" i="5"/>
  <c r="J1277" i="2"/>
  <c r="E85" i="10"/>
  <c r="J33" i="10"/>
  <c r="J50" i="5"/>
  <c r="J50" i="6" s="1"/>
  <c r="J1275" i="2"/>
  <c r="E83" i="10"/>
  <c r="J31" i="10"/>
  <c r="J48" i="5"/>
  <c r="J1273" i="2"/>
  <c r="E1316" i="2"/>
  <c r="E1359" i="2"/>
  <c r="E1367" i="2" s="1"/>
  <c r="E81" i="10"/>
  <c r="E48" i="10"/>
  <c r="J26" i="10"/>
  <c r="J45" i="5"/>
  <c r="J24" i="10"/>
  <c r="J43" i="5"/>
  <c r="J43" i="6" s="1"/>
  <c r="J22" i="10"/>
  <c r="J41" i="5"/>
  <c r="J20" i="10"/>
  <c r="J39" i="5"/>
  <c r="J39" i="6" s="1"/>
  <c r="J18" i="10"/>
  <c r="J37" i="5"/>
  <c r="J37" i="6" s="1"/>
  <c r="J16" i="10"/>
  <c r="J35" i="5"/>
  <c r="J35" i="6" s="1"/>
  <c r="J116" i="15"/>
  <c r="J174" i="15" s="1"/>
  <c r="J1354" i="2"/>
  <c r="I173" i="15"/>
  <c r="I114" i="15"/>
  <c r="I172" i="15" s="1"/>
  <c r="I24" i="14" s="1"/>
  <c r="E78" i="10"/>
  <c r="J167" i="15"/>
  <c r="E77" i="10"/>
  <c r="J160" i="15"/>
  <c r="E76" i="10"/>
  <c r="J153" i="15"/>
  <c r="E75" i="10"/>
  <c r="J146" i="15"/>
  <c r="E74" i="10"/>
  <c r="J139" i="15"/>
  <c r="I97" i="4"/>
  <c r="I26" i="6"/>
  <c r="J1256" i="2"/>
  <c r="J1121" i="2"/>
  <c r="I23" i="6"/>
  <c r="J22" i="6"/>
  <c r="J21" i="5"/>
  <c r="J21" i="6" s="1"/>
  <c r="J1253" i="2"/>
  <c r="J1118" i="2"/>
  <c r="J1337" i="2"/>
  <c r="I98" i="4"/>
  <c r="I17" i="6"/>
  <c r="J1330" i="2"/>
  <c r="J1244" i="2"/>
  <c r="J13" i="6"/>
  <c r="I10" i="6"/>
  <c r="E1342" i="2"/>
  <c r="J123" i="6" l="1"/>
  <c r="K28" i="11"/>
  <c r="J115" i="6"/>
  <c r="G28" i="11"/>
  <c r="I1171" i="2"/>
  <c r="G14" i="14"/>
  <c r="G74" i="14" s="1"/>
  <c r="G75" i="14" s="1"/>
  <c r="G1179" i="2"/>
  <c r="G11" i="14" s="1"/>
  <c r="K14" i="14"/>
  <c r="K74" i="14" s="1"/>
  <c r="K75" i="14" s="1"/>
  <c r="K1179" i="2"/>
  <c r="K11" i="14" s="1"/>
  <c r="D14" i="14"/>
  <c r="D74" i="14" s="1"/>
  <c r="D75" i="14" s="1"/>
  <c r="D1179" i="2"/>
  <c r="D11" i="14" s="1"/>
  <c r="E91" i="10"/>
  <c r="E28" i="14"/>
  <c r="E87" i="10"/>
  <c r="E81" i="11" s="1"/>
  <c r="J82" i="10"/>
  <c r="E32" i="14"/>
  <c r="E85" i="11"/>
  <c r="J86" i="10"/>
  <c r="J136" i="6"/>
  <c r="J134" i="6"/>
  <c r="J212" i="6"/>
  <c r="J210" i="6"/>
  <c r="J10" i="6"/>
  <c r="J98" i="4"/>
  <c r="W17" i="8"/>
  <c r="X17" i="8" s="1"/>
  <c r="I91" i="10"/>
  <c r="I93" i="10"/>
  <c r="I28" i="14"/>
  <c r="I81" i="11"/>
  <c r="I87" i="10"/>
  <c r="I1373" i="2"/>
  <c r="I1372" i="2"/>
  <c r="I70" i="14" s="1"/>
  <c r="I29" i="14"/>
  <c r="I82" i="11"/>
  <c r="I30" i="14"/>
  <c r="I83" i="11"/>
  <c r="I31" i="14"/>
  <c r="I84" i="11"/>
  <c r="I32" i="14"/>
  <c r="I85" i="11"/>
  <c r="I33" i="14"/>
  <c r="I86" i="11"/>
  <c r="J89" i="6"/>
  <c r="J108" i="6"/>
  <c r="J110" i="6"/>
  <c r="J117" i="6"/>
  <c r="J127" i="6"/>
  <c r="J139" i="6"/>
  <c r="J145" i="6"/>
  <c r="J153" i="6"/>
  <c r="J164" i="6"/>
  <c r="J169" i="6"/>
  <c r="J173" i="6"/>
  <c r="J177" i="6"/>
  <c r="J205" i="6"/>
  <c r="AV14" i="8"/>
  <c r="G71" i="14"/>
  <c r="G34" i="14"/>
  <c r="G87" i="11"/>
  <c r="F79" i="11"/>
  <c r="F95" i="10"/>
  <c r="F73" i="11"/>
  <c r="F75" i="11"/>
  <c r="F77" i="11"/>
  <c r="J1122" i="2"/>
  <c r="J1258" i="2"/>
  <c r="J9" i="6"/>
  <c r="E16" i="14"/>
  <c r="E15" i="14"/>
  <c r="J12" i="6"/>
  <c r="J18" i="6"/>
  <c r="J19" i="6"/>
  <c r="J20" i="6"/>
  <c r="J24" i="6"/>
  <c r="J25" i="6"/>
  <c r="J27" i="6"/>
  <c r="E8" i="10"/>
  <c r="E28" i="11" s="1"/>
  <c r="J29" i="6"/>
  <c r="J73" i="10"/>
  <c r="J28" i="10"/>
  <c r="J30" i="6"/>
  <c r="J74" i="10"/>
  <c r="J32" i="6"/>
  <c r="J76" i="10"/>
  <c r="J34" i="6"/>
  <c r="J78" i="10"/>
  <c r="J38" i="6"/>
  <c r="J42" i="6"/>
  <c r="J46" i="6"/>
  <c r="J47" i="6"/>
  <c r="E29" i="14"/>
  <c r="E82" i="11"/>
  <c r="J83" i="10"/>
  <c r="J51" i="6"/>
  <c r="E33" i="14"/>
  <c r="E86" i="11"/>
  <c r="J54" i="6"/>
  <c r="J56" i="6"/>
  <c r="J58" i="6"/>
  <c r="J60" i="6"/>
  <c r="J62" i="6"/>
  <c r="J64" i="6"/>
  <c r="J65" i="6"/>
  <c r="J67" i="6"/>
  <c r="J74" i="6"/>
  <c r="J76" i="6"/>
  <c r="J78" i="6"/>
  <c r="J86" i="6"/>
  <c r="J94" i="6"/>
  <c r="J96" i="6"/>
  <c r="J100" i="6"/>
  <c r="J104" i="6"/>
  <c r="J116" i="6"/>
  <c r="J118" i="6"/>
  <c r="J131" i="6"/>
  <c r="J133" i="6"/>
  <c r="J154" i="6"/>
  <c r="J161" i="6"/>
  <c r="J165" i="6"/>
  <c r="J168" i="6"/>
  <c r="J176" i="6"/>
  <c r="J190" i="6"/>
  <c r="J193" i="6"/>
  <c r="J202" i="6"/>
  <c r="J204" i="6"/>
  <c r="J208" i="6"/>
  <c r="I16" i="14"/>
  <c r="I15" i="14"/>
  <c r="J14" i="6"/>
  <c r="I89" i="10"/>
  <c r="I79" i="10"/>
  <c r="J137" i="15"/>
  <c r="J19" i="14" s="1"/>
  <c r="J158" i="15"/>
  <c r="J22" i="14" s="1"/>
  <c r="J165" i="15"/>
  <c r="J23" i="14" s="1"/>
  <c r="J68" i="6"/>
  <c r="J70" i="6"/>
  <c r="J72" i="6"/>
  <c r="J80" i="6"/>
  <c r="J82" i="6"/>
  <c r="J1169" i="2"/>
  <c r="J91" i="6"/>
  <c r="J97" i="6"/>
  <c r="J101" i="6"/>
  <c r="J105" i="6"/>
  <c r="J114" i="6"/>
  <c r="J122" i="6"/>
  <c r="J132" i="6"/>
  <c r="J141" i="6"/>
  <c r="J157" i="6"/>
  <c r="J160" i="6"/>
  <c r="J180" i="6"/>
  <c r="J207" i="6"/>
  <c r="I14" i="14"/>
  <c r="I74" i="14" s="1"/>
  <c r="I1179" i="2"/>
  <c r="AC9" i="8"/>
  <c r="X9" i="8"/>
  <c r="AG9" i="8"/>
  <c r="AB9" i="8"/>
  <c r="AV12" i="8"/>
  <c r="AV15" i="8"/>
  <c r="AP13" i="8"/>
  <c r="AP15" i="8"/>
  <c r="K71" i="14"/>
  <c r="K34" i="14"/>
  <c r="K87" i="11"/>
  <c r="AP12" i="8"/>
  <c r="AJ13" i="8"/>
  <c r="AP14" i="8"/>
  <c r="AJ15" i="8"/>
  <c r="D28" i="11"/>
  <c r="D79" i="11"/>
  <c r="D95" i="10"/>
  <c r="D73" i="11"/>
  <c r="F90" i="11"/>
  <c r="D91" i="11"/>
  <c r="F92" i="11"/>
  <c r="D93" i="11"/>
  <c r="F94" i="11"/>
  <c r="D71" i="14"/>
  <c r="D34" i="14"/>
  <c r="D87" i="11"/>
  <c r="H81" i="11"/>
  <c r="F82" i="11"/>
  <c r="D83" i="11"/>
  <c r="H83" i="11"/>
  <c r="F84" i="11"/>
  <c r="D85" i="11"/>
  <c r="E66" i="14"/>
  <c r="E1345" i="2"/>
  <c r="E1356" i="2" s="1"/>
  <c r="E67" i="14" s="1"/>
  <c r="E93" i="10"/>
  <c r="E1373" i="2"/>
  <c r="E1372" i="2"/>
  <c r="E70" i="14" s="1"/>
  <c r="E90" i="10"/>
  <c r="E92" i="10"/>
  <c r="E94" i="10"/>
  <c r="J41" i="6"/>
  <c r="J45" i="6"/>
  <c r="E48" i="11"/>
  <c r="J48" i="6"/>
  <c r="E30" i="14"/>
  <c r="E83" i="11"/>
  <c r="J84" i="10"/>
  <c r="J52" i="6"/>
  <c r="E68" i="11"/>
  <c r="J84" i="6"/>
  <c r="J92" i="6"/>
  <c r="J111" i="6"/>
  <c r="J113" i="6"/>
  <c r="J121" i="6"/>
  <c r="J126" i="6"/>
  <c r="J130" i="6"/>
  <c r="J101" i="4"/>
  <c r="F17" i="8"/>
  <c r="F14" i="8"/>
  <c r="F12" i="8"/>
  <c r="J100" i="4"/>
  <c r="J1203" i="2"/>
  <c r="J1267" i="2"/>
  <c r="J197" i="6"/>
  <c r="J195" i="6"/>
  <c r="J206" i="6"/>
  <c r="J73" i="14"/>
  <c r="J17" i="6"/>
  <c r="J23" i="6"/>
  <c r="J28" i="6"/>
  <c r="I74" i="11"/>
  <c r="I90" i="10"/>
  <c r="I76" i="11"/>
  <c r="I92" i="10"/>
  <c r="I78" i="11"/>
  <c r="I94" i="10"/>
  <c r="J85" i="6"/>
  <c r="J112" i="6"/>
  <c r="J119" i="6"/>
  <c r="J124" i="6"/>
  <c r="J129" i="6"/>
  <c r="J99" i="4"/>
  <c r="J143" i="6"/>
  <c r="J151" i="6"/>
  <c r="J159" i="6"/>
  <c r="J162" i="6"/>
  <c r="J167" i="6"/>
  <c r="J175" i="6"/>
  <c r="J200" i="6"/>
  <c r="J209" i="6"/>
  <c r="E1171" i="2"/>
  <c r="AJ12" i="8"/>
  <c r="AJ14" i="8"/>
  <c r="G8" i="11"/>
  <c r="G11" i="11"/>
  <c r="G15" i="11"/>
  <c r="G19" i="11"/>
  <c r="G23" i="11"/>
  <c r="G27" i="11"/>
  <c r="G33" i="11"/>
  <c r="G37" i="11"/>
  <c r="G41" i="11"/>
  <c r="G45" i="11"/>
  <c r="G10" i="11"/>
  <c r="G14" i="11"/>
  <c r="G18" i="11"/>
  <c r="G22" i="11"/>
  <c r="G26" i="11"/>
  <c r="G32" i="11"/>
  <c r="G36" i="11"/>
  <c r="G40" i="11"/>
  <c r="G44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70" i="11"/>
  <c r="G13" i="11"/>
  <c r="G17" i="11"/>
  <c r="G21" i="11"/>
  <c r="G25" i="11"/>
  <c r="G31" i="11"/>
  <c r="G35" i="11"/>
  <c r="G39" i="11"/>
  <c r="G43" i="11"/>
  <c r="G47" i="11"/>
  <c r="G51" i="11"/>
  <c r="G53" i="11"/>
  <c r="G12" i="11"/>
  <c r="G16" i="11"/>
  <c r="G20" i="11"/>
  <c r="G24" i="11"/>
  <c r="G30" i="11"/>
  <c r="G34" i="11"/>
  <c r="G38" i="11"/>
  <c r="G42" i="11"/>
  <c r="G46" i="11"/>
  <c r="G50" i="11"/>
  <c r="G52" i="11"/>
  <c r="G48" i="11"/>
  <c r="G79" i="11"/>
  <c r="G95" i="10"/>
  <c r="G73" i="11"/>
  <c r="G74" i="11"/>
  <c r="G75" i="11"/>
  <c r="G76" i="11"/>
  <c r="G77" i="11"/>
  <c r="G78" i="11"/>
  <c r="G81" i="11"/>
  <c r="G82" i="11"/>
  <c r="G83" i="11"/>
  <c r="G84" i="11"/>
  <c r="G85" i="11"/>
  <c r="G86" i="11"/>
  <c r="F13" i="8"/>
  <c r="F8" i="11"/>
  <c r="F12" i="11"/>
  <c r="F16" i="11"/>
  <c r="F20" i="11"/>
  <c r="F24" i="11"/>
  <c r="F30" i="11"/>
  <c r="F34" i="11"/>
  <c r="F38" i="11"/>
  <c r="F42" i="11"/>
  <c r="F46" i="11"/>
  <c r="F11" i="11"/>
  <c r="F15" i="11"/>
  <c r="F19" i="11"/>
  <c r="F23" i="11"/>
  <c r="F27" i="11"/>
  <c r="F33" i="11"/>
  <c r="F37" i="11"/>
  <c r="F41" i="11"/>
  <c r="F45" i="11"/>
  <c r="F50" i="11"/>
  <c r="F52" i="11"/>
  <c r="F54" i="11"/>
  <c r="F56" i="11"/>
  <c r="F58" i="11"/>
  <c r="F60" i="11"/>
  <c r="F62" i="11"/>
  <c r="F64" i="11"/>
  <c r="F66" i="11"/>
  <c r="F10" i="11"/>
  <c r="F14" i="11"/>
  <c r="F18" i="11"/>
  <c r="F22" i="11"/>
  <c r="F26" i="11"/>
  <c r="F32" i="11"/>
  <c r="F36" i="11"/>
  <c r="F40" i="11"/>
  <c r="F44" i="11"/>
  <c r="F13" i="11"/>
  <c r="F17" i="11"/>
  <c r="F21" i="11"/>
  <c r="F25" i="11"/>
  <c r="F31" i="11"/>
  <c r="F35" i="11"/>
  <c r="F39" i="11"/>
  <c r="F43" i="11"/>
  <c r="F47" i="11"/>
  <c r="F51" i="11"/>
  <c r="F53" i="11"/>
  <c r="F55" i="11"/>
  <c r="F57" i="11"/>
  <c r="F59" i="11"/>
  <c r="F61" i="11"/>
  <c r="F63" i="11"/>
  <c r="F65" i="11"/>
  <c r="F67" i="11"/>
  <c r="F70" i="11"/>
  <c r="F68" i="11"/>
  <c r="F89" i="11"/>
  <c r="D90" i="11"/>
  <c r="F91" i="11"/>
  <c r="D92" i="11"/>
  <c r="F93" i="11"/>
  <c r="D94" i="11"/>
  <c r="F71" i="14"/>
  <c r="F34" i="14"/>
  <c r="F87" i="11"/>
  <c r="J1162" i="2"/>
  <c r="J1171" i="2" s="1"/>
  <c r="J1342" i="2"/>
  <c r="J11" i="6"/>
  <c r="J1237" i="2"/>
  <c r="J15" i="6"/>
  <c r="J16" i="6"/>
  <c r="J1211" i="2"/>
  <c r="E89" i="10"/>
  <c r="E79" i="10"/>
  <c r="E74" i="11" s="1"/>
  <c r="I135" i="15"/>
  <c r="J31" i="6"/>
  <c r="J75" i="10"/>
  <c r="J33" i="6"/>
  <c r="J77" i="10"/>
  <c r="J36" i="6"/>
  <c r="J40" i="6"/>
  <c r="J44" i="6"/>
  <c r="J1359" i="2"/>
  <c r="J1367" i="2" s="1"/>
  <c r="J1316" i="2"/>
  <c r="J81" i="10"/>
  <c r="J48" i="10"/>
  <c r="J49" i="6"/>
  <c r="E31" i="14"/>
  <c r="E84" i="11"/>
  <c r="J85" i="10"/>
  <c r="J53" i="6"/>
  <c r="J55" i="6"/>
  <c r="J57" i="6"/>
  <c r="J59" i="6"/>
  <c r="J61" i="6"/>
  <c r="J63" i="6"/>
  <c r="J68" i="10"/>
  <c r="J75" i="6"/>
  <c r="J77" i="6"/>
  <c r="J79" i="6"/>
  <c r="J90" i="6"/>
  <c r="J98" i="6"/>
  <c r="J102" i="6"/>
  <c r="J106" i="6"/>
  <c r="J125" i="6"/>
  <c r="J152" i="6"/>
  <c r="J163" i="6"/>
  <c r="J170" i="6"/>
  <c r="J174" i="6"/>
  <c r="J178" i="6"/>
  <c r="J179" i="6"/>
  <c r="J189" i="6"/>
  <c r="J90" i="12"/>
  <c r="I66" i="14"/>
  <c r="I1345" i="2"/>
  <c r="I1356" i="2" s="1"/>
  <c r="I67" i="14" s="1"/>
  <c r="J26" i="6"/>
  <c r="I8" i="10"/>
  <c r="I28" i="11" s="1"/>
  <c r="J173" i="15"/>
  <c r="J114" i="15"/>
  <c r="J172" i="15" s="1"/>
  <c r="J24" i="14" s="1"/>
  <c r="J69" i="6"/>
  <c r="J71" i="6"/>
  <c r="J73" i="6"/>
  <c r="J81" i="6"/>
  <c r="J83" i="6"/>
  <c r="J87" i="6"/>
  <c r="J93" i="6"/>
  <c r="J95" i="6"/>
  <c r="J99" i="6"/>
  <c r="J103" i="6"/>
  <c r="J107" i="6"/>
  <c r="J120" i="6"/>
  <c r="J147" i="6"/>
  <c r="J155" i="6"/>
  <c r="J172" i="6"/>
  <c r="J192" i="6"/>
  <c r="J194" i="6"/>
  <c r="J201" i="6"/>
  <c r="I73" i="14"/>
  <c r="I75" i="14" s="1"/>
  <c r="I11" i="14"/>
  <c r="AV13" i="8"/>
  <c r="K8" i="11"/>
  <c r="K13" i="11"/>
  <c r="K17" i="11"/>
  <c r="K21" i="11"/>
  <c r="K25" i="11"/>
  <c r="K31" i="11"/>
  <c r="K35" i="11"/>
  <c r="K39" i="11"/>
  <c r="K43" i="11"/>
  <c r="K47" i="11"/>
  <c r="K51" i="11"/>
  <c r="K53" i="11"/>
  <c r="K12" i="11"/>
  <c r="K16" i="11"/>
  <c r="K20" i="11"/>
  <c r="K24" i="11"/>
  <c r="K30" i="11"/>
  <c r="K34" i="11"/>
  <c r="K38" i="11"/>
  <c r="K42" i="11"/>
  <c r="K46" i="11"/>
  <c r="K50" i="11"/>
  <c r="K52" i="11"/>
  <c r="K11" i="11"/>
  <c r="K15" i="11"/>
  <c r="K19" i="11"/>
  <c r="K23" i="11"/>
  <c r="K27" i="11"/>
  <c r="K33" i="11"/>
  <c r="K37" i="11"/>
  <c r="K41" i="11"/>
  <c r="K45" i="11"/>
  <c r="K10" i="11"/>
  <c r="K14" i="11"/>
  <c r="K18" i="11"/>
  <c r="K22" i="11"/>
  <c r="K26" i="11"/>
  <c r="K32" i="11"/>
  <c r="K36" i="11"/>
  <c r="K40" i="11"/>
  <c r="K44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70" i="11"/>
  <c r="K48" i="11"/>
  <c r="K79" i="11"/>
  <c r="K95" i="10"/>
  <c r="K73" i="11"/>
  <c r="K74" i="11"/>
  <c r="K75" i="11"/>
  <c r="K76" i="11"/>
  <c r="K77" i="11"/>
  <c r="K78" i="11"/>
  <c r="K81" i="11"/>
  <c r="K82" i="11"/>
  <c r="K83" i="11"/>
  <c r="K84" i="11"/>
  <c r="K85" i="11"/>
  <c r="K86" i="11"/>
  <c r="D8" i="11"/>
  <c r="D13" i="11"/>
  <c r="D17" i="11"/>
  <c r="D21" i="11"/>
  <c r="D25" i="11"/>
  <c r="D31" i="11"/>
  <c r="D35" i="11"/>
  <c r="D39" i="11"/>
  <c r="D43" i="11"/>
  <c r="D47" i="11"/>
  <c r="D12" i="11"/>
  <c r="D16" i="11"/>
  <c r="D20" i="11"/>
  <c r="D24" i="11"/>
  <c r="D30" i="11"/>
  <c r="D34" i="11"/>
  <c r="D38" i="11"/>
  <c r="D42" i="11"/>
  <c r="D46" i="11"/>
  <c r="D51" i="11"/>
  <c r="D53" i="11"/>
  <c r="D55" i="11"/>
  <c r="D57" i="11"/>
  <c r="D59" i="11"/>
  <c r="D61" i="11"/>
  <c r="D63" i="11"/>
  <c r="D65" i="11"/>
  <c r="D67" i="11"/>
  <c r="D70" i="11"/>
  <c r="D11" i="11"/>
  <c r="D15" i="11"/>
  <c r="D19" i="11"/>
  <c r="D23" i="11"/>
  <c r="D27" i="11"/>
  <c r="D33" i="11"/>
  <c r="D37" i="11"/>
  <c r="D41" i="11"/>
  <c r="D45" i="11"/>
  <c r="D10" i="11"/>
  <c r="D14" i="11"/>
  <c r="D18" i="11"/>
  <c r="D22" i="11"/>
  <c r="D26" i="11"/>
  <c r="D32" i="11"/>
  <c r="D36" i="11"/>
  <c r="D40" i="11"/>
  <c r="D44" i="11"/>
  <c r="D50" i="11"/>
  <c r="D52" i="11"/>
  <c r="D54" i="11"/>
  <c r="D56" i="11"/>
  <c r="D58" i="11"/>
  <c r="D60" i="11"/>
  <c r="D62" i="11"/>
  <c r="D64" i="11"/>
  <c r="D66" i="11"/>
  <c r="H8" i="11"/>
  <c r="H10" i="11"/>
  <c r="H14" i="11"/>
  <c r="H18" i="11"/>
  <c r="H22" i="11"/>
  <c r="H26" i="11"/>
  <c r="H32" i="11"/>
  <c r="H36" i="11"/>
  <c r="H40" i="11"/>
  <c r="H44" i="11"/>
  <c r="H13" i="11"/>
  <c r="H17" i="11"/>
  <c r="H21" i="11"/>
  <c r="H25" i="11"/>
  <c r="H31" i="11"/>
  <c r="H35" i="11"/>
  <c r="H39" i="11"/>
  <c r="H43" i="11"/>
  <c r="H47" i="11"/>
  <c r="H51" i="11"/>
  <c r="H53" i="11"/>
  <c r="H55" i="11"/>
  <c r="H57" i="11"/>
  <c r="H59" i="11"/>
  <c r="H61" i="11"/>
  <c r="H63" i="11"/>
  <c r="H65" i="11"/>
  <c r="H67" i="11"/>
  <c r="H70" i="11"/>
  <c r="H12" i="11"/>
  <c r="H16" i="11"/>
  <c r="H20" i="11"/>
  <c r="H24" i="11"/>
  <c r="H30" i="11"/>
  <c r="H34" i="11"/>
  <c r="H38" i="11"/>
  <c r="H42" i="11"/>
  <c r="H46" i="11"/>
  <c r="H11" i="11"/>
  <c r="H15" i="11"/>
  <c r="H19" i="11"/>
  <c r="H23" i="11"/>
  <c r="H27" i="11"/>
  <c r="H33" i="11"/>
  <c r="H37" i="11"/>
  <c r="H41" i="11"/>
  <c r="H45" i="11"/>
  <c r="H50" i="11"/>
  <c r="H52" i="11"/>
  <c r="H54" i="11"/>
  <c r="H56" i="11"/>
  <c r="H58" i="11"/>
  <c r="H60" i="11"/>
  <c r="H62" i="11"/>
  <c r="H64" i="11"/>
  <c r="H66" i="11"/>
  <c r="F48" i="11"/>
  <c r="H68" i="11"/>
  <c r="D89" i="11"/>
  <c r="H79" i="11"/>
  <c r="H95" i="10"/>
  <c r="H89" i="11" s="1"/>
  <c r="H73" i="11"/>
  <c r="F74" i="11"/>
  <c r="D75" i="11"/>
  <c r="H75" i="11"/>
  <c r="F76" i="11"/>
  <c r="D77" i="11"/>
  <c r="H77" i="11"/>
  <c r="F78" i="11"/>
  <c r="H71" i="14"/>
  <c r="H34" i="14"/>
  <c r="H87" i="11"/>
  <c r="K25" i="14" l="1"/>
  <c r="K95" i="11"/>
  <c r="K97" i="10"/>
  <c r="I8" i="11"/>
  <c r="I10" i="11"/>
  <c r="I54" i="11"/>
  <c r="I52" i="11"/>
  <c r="I50" i="11"/>
  <c r="I35" i="11"/>
  <c r="I34" i="11"/>
  <c r="I33" i="11"/>
  <c r="I32" i="11"/>
  <c r="I31" i="11"/>
  <c r="I30" i="11"/>
  <c r="I26" i="11"/>
  <c r="I24" i="11"/>
  <c r="I22" i="11"/>
  <c r="I20" i="11"/>
  <c r="I18" i="11"/>
  <c r="I16" i="11"/>
  <c r="I14" i="11"/>
  <c r="I12" i="11"/>
  <c r="I67" i="11"/>
  <c r="I65" i="11"/>
  <c r="I57" i="11"/>
  <c r="I53" i="11"/>
  <c r="I64" i="11"/>
  <c r="I62" i="11"/>
  <c r="I60" i="11"/>
  <c r="I47" i="11"/>
  <c r="I45" i="11"/>
  <c r="I43" i="11"/>
  <c r="I41" i="11"/>
  <c r="I39" i="11"/>
  <c r="I37" i="11"/>
  <c r="I70" i="11"/>
  <c r="I66" i="11"/>
  <c r="I58" i="11"/>
  <c r="I56" i="11"/>
  <c r="I63" i="11"/>
  <c r="I61" i="11"/>
  <c r="I59" i="11"/>
  <c r="I51" i="11"/>
  <c r="I46" i="11"/>
  <c r="I44" i="11"/>
  <c r="I42" i="11"/>
  <c r="I40" i="11"/>
  <c r="I38" i="11"/>
  <c r="I36" i="11"/>
  <c r="I27" i="11"/>
  <c r="I25" i="11"/>
  <c r="I23" i="11"/>
  <c r="I21" i="11"/>
  <c r="I19" i="11"/>
  <c r="I17" i="11"/>
  <c r="I15" i="11"/>
  <c r="I13" i="11"/>
  <c r="I11" i="11"/>
  <c r="I55" i="11"/>
  <c r="J32" i="14"/>
  <c r="J28" i="14"/>
  <c r="J87" i="10"/>
  <c r="J85" i="11" s="1"/>
  <c r="J93" i="10"/>
  <c r="H92" i="11"/>
  <c r="G25" i="14"/>
  <c r="G95" i="11"/>
  <c r="G97" i="10"/>
  <c r="I48" i="11"/>
  <c r="J31" i="14"/>
  <c r="J84" i="11"/>
  <c r="E78" i="11"/>
  <c r="E76" i="11"/>
  <c r="H93" i="11"/>
  <c r="D25" i="14"/>
  <c r="D95" i="11"/>
  <c r="D97" i="10"/>
  <c r="K94" i="11"/>
  <c r="K92" i="11"/>
  <c r="K90" i="11"/>
  <c r="J135" i="15"/>
  <c r="I79" i="11"/>
  <c r="I95" i="10"/>
  <c r="I73" i="11"/>
  <c r="J94" i="10"/>
  <c r="J90" i="10"/>
  <c r="J89" i="10"/>
  <c r="J79" i="10"/>
  <c r="F25" i="14"/>
  <c r="F95" i="11"/>
  <c r="F97" i="10"/>
  <c r="G93" i="11"/>
  <c r="G91" i="11"/>
  <c r="G89" i="11"/>
  <c r="I71" i="14"/>
  <c r="I34" i="14"/>
  <c r="I87" i="11"/>
  <c r="I77" i="11"/>
  <c r="I75" i="11"/>
  <c r="H25" i="14"/>
  <c r="H95" i="11"/>
  <c r="H97" i="10"/>
  <c r="J1373" i="2"/>
  <c r="J1372" i="2"/>
  <c r="J70" i="14" s="1"/>
  <c r="J75" i="11"/>
  <c r="J91" i="10"/>
  <c r="E79" i="11"/>
  <c r="E95" i="10"/>
  <c r="E73" i="11"/>
  <c r="J16" i="14"/>
  <c r="J15" i="14"/>
  <c r="J66" i="14"/>
  <c r="J1345" i="2"/>
  <c r="J1356" i="2" s="1"/>
  <c r="J67" i="14" s="1"/>
  <c r="J14" i="14"/>
  <c r="J74" i="14" s="1"/>
  <c r="J75" i="14" s="1"/>
  <c r="J1179" i="2"/>
  <c r="J11" i="14" s="1"/>
  <c r="H94" i="11"/>
  <c r="H90" i="11"/>
  <c r="E14" i="14"/>
  <c r="E74" i="14" s="1"/>
  <c r="E75" i="14" s="1"/>
  <c r="E1179" i="2"/>
  <c r="E11" i="14" s="1"/>
  <c r="I94" i="11"/>
  <c r="I92" i="11"/>
  <c r="I90" i="11"/>
  <c r="E94" i="11"/>
  <c r="E92" i="11"/>
  <c r="E90" i="11"/>
  <c r="E77" i="11"/>
  <c r="H91" i="11"/>
  <c r="K93" i="11"/>
  <c r="K91" i="11"/>
  <c r="K89" i="11"/>
  <c r="AM9" i="8"/>
  <c r="AH9" i="8"/>
  <c r="AI9" i="8"/>
  <c r="AD9" i="8"/>
  <c r="I89" i="11"/>
  <c r="J30" i="14"/>
  <c r="J83" i="11"/>
  <c r="J76" i="11"/>
  <c r="J92" i="10"/>
  <c r="J8" i="10"/>
  <c r="J28" i="11" s="1"/>
  <c r="E8" i="11"/>
  <c r="E35" i="11"/>
  <c r="E31" i="11"/>
  <c r="E27" i="11"/>
  <c r="E23" i="11"/>
  <c r="E19" i="11"/>
  <c r="E70" i="11"/>
  <c r="E66" i="11"/>
  <c r="E58" i="11"/>
  <c r="E56" i="11"/>
  <c r="E54" i="11"/>
  <c r="E63" i="11"/>
  <c r="E61" i="11"/>
  <c r="E59" i="11"/>
  <c r="E46" i="11"/>
  <c r="E44" i="11"/>
  <c r="E42" i="11"/>
  <c r="E40" i="11"/>
  <c r="E38" i="11"/>
  <c r="E36" i="11"/>
  <c r="E34" i="11"/>
  <c r="E30" i="11"/>
  <c r="E24" i="11"/>
  <c r="E20" i="11"/>
  <c r="E16" i="11"/>
  <c r="E14" i="11"/>
  <c r="E12" i="11"/>
  <c r="E39" i="11"/>
  <c r="E26" i="11"/>
  <c r="E18" i="11"/>
  <c r="E15" i="11"/>
  <c r="E51" i="11"/>
  <c r="E33" i="11"/>
  <c r="E25" i="11"/>
  <c r="E21" i="11"/>
  <c r="E17" i="11"/>
  <c r="E10" i="11"/>
  <c r="E67" i="11"/>
  <c r="E65" i="11"/>
  <c r="E57" i="11"/>
  <c r="E55" i="11"/>
  <c r="E53" i="11"/>
  <c r="E64" i="11"/>
  <c r="E62" i="11"/>
  <c r="E60" i="11"/>
  <c r="E52" i="11"/>
  <c r="E50" i="11"/>
  <c r="E47" i="11"/>
  <c r="E45" i="11"/>
  <c r="E43" i="11"/>
  <c r="E41" i="11"/>
  <c r="E37" i="11"/>
  <c r="E32" i="11"/>
  <c r="E22" i="11"/>
  <c r="E13" i="11"/>
  <c r="E11" i="11"/>
  <c r="J1269" i="2"/>
  <c r="G94" i="11"/>
  <c r="G92" i="11"/>
  <c r="G90" i="11"/>
  <c r="I68" i="11"/>
  <c r="I93" i="11"/>
  <c r="I91" i="11"/>
  <c r="J33" i="14"/>
  <c r="J86" i="11"/>
  <c r="J29" i="14"/>
  <c r="J82" i="11"/>
  <c r="E71" i="14"/>
  <c r="E34" i="14"/>
  <c r="E87" i="11"/>
  <c r="E75" i="11"/>
  <c r="J8" i="11" l="1"/>
  <c r="AC17" i="8"/>
  <c r="J18" i="11"/>
  <c r="J10" i="11"/>
  <c r="J11" i="11"/>
  <c r="J15" i="11"/>
  <c r="J17" i="11"/>
  <c r="J21" i="11"/>
  <c r="J25" i="11"/>
  <c r="J36" i="11"/>
  <c r="J38" i="11"/>
  <c r="J40" i="11"/>
  <c r="J42" i="11"/>
  <c r="J44" i="11"/>
  <c r="J46" i="11"/>
  <c r="J22" i="11"/>
  <c r="J20" i="11"/>
  <c r="J24" i="11"/>
  <c r="J33" i="11"/>
  <c r="J51" i="11"/>
  <c r="J14" i="11"/>
  <c r="J30" i="11"/>
  <c r="J34" i="11"/>
  <c r="J50" i="11"/>
  <c r="J52" i="11"/>
  <c r="J53" i="11"/>
  <c r="J55" i="11"/>
  <c r="J57" i="11"/>
  <c r="J65" i="11"/>
  <c r="J67" i="11"/>
  <c r="J70" i="11"/>
  <c r="J26" i="11"/>
  <c r="J31" i="11"/>
  <c r="J35" i="11"/>
  <c r="J13" i="11"/>
  <c r="J32" i="11"/>
  <c r="J60" i="11"/>
  <c r="J62" i="11"/>
  <c r="J64" i="11"/>
  <c r="J54" i="11"/>
  <c r="J56" i="11"/>
  <c r="J58" i="11"/>
  <c r="J66" i="11"/>
  <c r="J16" i="11"/>
  <c r="J12" i="11"/>
  <c r="J19" i="11"/>
  <c r="J23" i="11"/>
  <c r="J27" i="11"/>
  <c r="J37" i="11"/>
  <c r="J39" i="11"/>
  <c r="J41" i="11"/>
  <c r="J43" i="11"/>
  <c r="J45" i="11"/>
  <c r="J47" i="11"/>
  <c r="J59" i="11"/>
  <c r="J61" i="11"/>
  <c r="J63" i="11"/>
  <c r="AO9" i="8"/>
  <c r="AJ9" i="8"/>
  <c r="AS9" i="8"/>
  <c r="AN9" i="8"/>
  <c r="E25" i="14"/>
  <c r="E95" i="11"/>
  <c r="E97" i="10"/>
  <c r="J48" i="11"/>
  <c r="E91" i="11"/>
  <c r="J79" i="11"/>
  <c r="J95" i="10"/>
  <c r="J90" i="11" s="1"/>
  <c r="J73" i="11"/>
  <c r="J74" i="11"/>
  <c r="J78" i="11"/>
  <c r="I25" i="14"/>
  <c r="I95" i="11"/>
  <c r="I97" i="10"/>
  <c r="E93" i="11"/>
  <c r="E89" i="11"/>
  <c r="J77" i="11"/>
  <c r="J81" i="11"/>
  <c r="J68" i="11"/>
  <c r="J89" i="11"/>
  <c r="J71" i="14"/>
  <c r="J34" i="14"/>
  <c r="J87" i="11"/>
  <c r="J94" i="11" l="1"/>
  <c r="J93" i="11"/>
  <c r="J25" i="14"/>
  <c r="J95" i="11"/>
  <c r="J97" i="10"/>
  <c r="J91" i="11"/>
  <c r="J92" i="11"/>
  <c r="AD17" i="8"/>
  <c r="AD15" i="8"/>
  <c r="AD14" i="8"/>
  <c r="AD13" i="8"/>
  <c r="AD12" i="8"/>
  <c r="AY9" i="8"/>
  <c r="AZ9" i="8" s="1"/>
  <c r="AT9" i="8"/>
  <c r="AU9" i="8"/>
  <c r="AP9" i="8"/>
  <c r="BA9" i="8" l="1"/>
  <c r="BB9" i="8" s="1"/>
  <c r="AV9" i="8"/>
</calcChain>
</file>

<file path=xl/sharedStrings.xml><?xml version="1.0" encoding="utf-8"?>
<sst xmlns="http://schemas.openxmlformats.org/spreadsheetml/2006/main" count="1815" uniqueCount="970">
  <si>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</si>
  <si>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</si>
  <si>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</si>
  <si>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</si>
  <si>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</si>
  <si>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</si>
  <si>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</si>
  <si>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</si>
  <si>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</si>
  <si>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</si>
  <si>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</si>
  <si>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</si>
  <si>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</si>
  <si>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</si>
  <si>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</si>
  <si>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</si>
  <si>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</si>
  <si>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</si>
  <si>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</si>
  <si>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</si>
  <si>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</si>
  <si>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</si>
  <si>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</si>
  <si>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</si>
  <si>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</si>
  <si>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</si>
  <si>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</si>
  <si>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</si>
  <si>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</si>
  <si>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</si>
  <si>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</si>
  <si>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</si>
  <si>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</si>
  <si>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</si>
  <si>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</si>
  <si>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</si>
  <si>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</si>
  <si>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</si>
  <si>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</si>
  <si>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</si>
  <si>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</si>
  <si>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</si>
  <si>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</si>
  <si>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</si>
  <si>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</si>
  <si>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</si>
  <si>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</si>
  <si>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</si>
  <si>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</si>
  <si>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</si>
  <si>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</si>
  <si>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</si>
  <si>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</si>
  <si>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</si>
  <si>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</si>
  <si>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</si>
  <si>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</si>
  <si>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</si>
  <si>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</si>
  <si>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</si>
  <si>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</si>
  <si>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</si>
  <si>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</si>
  <si>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</si>
  <si>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</si>
  <si>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</si>
  <si>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</si>
  <si>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</si>
  <si>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</si>
  <si>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</si>
  <si>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</si>
  <si>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</si>
  <si>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</si>
  <si>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</si>
  <si>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</si>
  <si>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</si>
  <si>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</si>
  <si>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</si>
  <si>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</si>
  <si>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</si>
  <si>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</si>
  <si>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</si>
  <si>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</si>
  <si>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</si>
  <si>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</si>
  <si>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</si>
  <si>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</si>
  <si>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</si>
  <si>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</si>
  <si>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</si>
  <si>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</si>
  <si>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</si>
  <si>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</si>
  <si>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</si>
  <si>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</si>
  <si>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</si>
  <si>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</si>
  <si>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</si>
  <si>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</si>
  <si>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</si>
  <si>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</si>
  <si>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</si>
  <si>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</si>
  <si>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</si>
  <si>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</si>
  <si>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</si>
  <si>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</si>
  <si>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</si>
  <si>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</si>
  <si>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</si>
  <si>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</si>
  <si>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</si>
  <si>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</si>
  <si>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</si>
  <si>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</si>
  <si>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</si>
  <si>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</si>
  <si>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</si>
  <si>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</si>
  <si>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</si>
  <si>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</si>
  <si>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</si>
  <si>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</si>
  <si>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</si>
  <si>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</si>
  <si>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</si>
  <si>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</si>
  <si>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</si>
  <si>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</si>
  <si>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</si>
  <si>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</si>
  <si>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</si>
  <si>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</si>
  <si>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</si>
  <si>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</si>
  <si>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</si>
  <si>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</si>
  <si>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</si>
  <si>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</si>
  <si>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</si>
  <si>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</si>
  <si>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</si>
  <si>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</si>
  <si>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</si>
  <si>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</si>
  <si>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</si>
  <si>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</si>
  <si>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</si>
  <si>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</si>
  <si>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</si>
  <si>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</si>
  <si>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</si>
  <si>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</si>
  <si>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</si>
  <si>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</si>
  <si>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</si>
  <si>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</si>
  <si>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</si>
  <si>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</si>
  <si>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</si>
  <si>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</si>
  <si>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</si>
  <si>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</si>
  <si>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</si>
  <si>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</si>
  <si>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</si>
  <si>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</si>
  <si>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</si>
  <si>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</si>
  <si>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</si>
  <si>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</si>
  <si>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</si>
  <si>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</si>
  <si>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</si>
  <si>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</si>
  <si>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</si>
  <si>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</si>
  <si>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</si>
  <si>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</si>
  <si>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</si>
  <si>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</si>
  <si>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</si>
  <si>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</si>
  <si>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</si>
  <si>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</si>
  <si>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</si>
  <si>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</si>
  <si>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</si>
  <si>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</si>
  <si>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</si>
  <si>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</si>
  <si>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</si>
  <si>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</si>
  <si>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</si>
  <si>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</si>
  <si>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</si>
  <si>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</si>
  <si>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</si>
  <si>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</si>
  <si>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</si>
  <si>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</si>
  <si>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</si>
  <si>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</si>
  <si>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</si>
  <si>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</si>
  <si>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</si>
  <si>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</si>
  <si>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</si>
  <si>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</si>
  <si>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</si>
  <si>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</si>
  <si>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</si>
  <si>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</si>
  <si>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</si>
  <si>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</si>
  <si>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</si>
  <si>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</si>
  <si>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</si>
  <si>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</si>
  <si>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</si>
  <si>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</si>
  <si>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</si>
  <si>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</si>
  <si>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</si>
  <si>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</si>
  <si>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</si>
  <si>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</si>
  <si>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</si>
  <si>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</si>
  <si>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</si>
  <si>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</si>
  <si>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</si>
  <si>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</si>
  <si>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</si>
  <si>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</si>
  <si>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</si>
  <si>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</si>
  <si>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</si>
  <si>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</si>
  <si>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</si>
  <si>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</si>
  <si>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</si>
  <si>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</si>
  <si>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</si>
  <si>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</si>
  <si>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</si>
  <si>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</si>
  <si>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</si>
  <si>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</si>
  <si>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</si>
  <si>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</si>
  <si>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</si>
  <si>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</si>
  <si>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</si>
  <si>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</si>
  <si>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</si>
  <si>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</si>
  <si>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</si>
  <si>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</si>
  <si>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</si>
  <si>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</si>
  <si>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</si>
  <si>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</si>
  <si>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</si>
  <si>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</si>
  <si>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</si>
  <si>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</si>
  <si>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</si>
  <si>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</si>
  <si>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</si>
  <si>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</si>
  <si>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</si>
  <si>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</si>
  <si>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</si>
  <si>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</si>
  <si>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</si>
  <si>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</si>
  <si>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</si>
  <si>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</si>
  <si>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</si>
  <si>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</si>
  <si>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</si>
  <si>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</si>
  <si>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</si>
  <si>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</si>
  <si>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</si>
  <si>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</si>
  <si>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</si>
  <si>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</si>
  <si>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</si>
  <si>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</si>
  <si>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</si>
  <si>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</si>
  <si>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</si>
  <si>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</si>
  <si>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</si>
  <si>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</si>
  <si>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</si>
  <si>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</si>
  <si>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</si>
  <si>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</si>
  <si>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</si>
  <si>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</si>
  <si>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</si>
  <si>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</si>
  <si>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</si>
  <si>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</si>
  <si>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</si>
  <si>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</si>
  <si>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</si>
  <si>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</si>
  <si>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</si>
  <si>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</si>
  <si>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</si>
  <si>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</si>
  <si>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</si>
  <si>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</si>
  <si>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</si>
  <si>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</si>
  <si>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</si>
  <si>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</si>
  <si>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</si>
  <si>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</si>
  <si>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</si>
  <si>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</si>
  <si>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</si>
  <si>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</si>
  <si>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</si>
  <si>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</si>
  <si>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</si>
  <si>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</si>
  <si>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</si>
  <si>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</si>
  <si>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</si>
  <si>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</si>
  <si>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</si>
  <si>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</si>
  <si>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</si>
  <si>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</si>
  <si>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</si>
  <si>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</si>
  <si>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</si>
  <si>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</si>
  <si>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</si>
  <si>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</si>
  <si>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</si>
  <si>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</si>
  <si>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</si>
  <si>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</si>
  <si>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</si>
  <si>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</si>
  <si>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</si>
  <si>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</si>
  <si>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</si>
  <si>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</si>
  <si>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</si>
  <si>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</si>
  <si>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</si>
  <si>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</si>
  <si>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</si>
  <si>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</si>
  <si>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</si>
  <si>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</si>
  <si>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</si>
  <si>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</si>
  <si>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</si>
  <si>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</si>
  <si>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</si>
  <si>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</si>
  <si>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</si>
  <si>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</si>
  <si>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</si>
  <si>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</si>
  <si>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</si>
  <si>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</si>
  <si>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</si>
  <si>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</si>
  <si>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</si>
  <si>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</si>
  <si>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</si>
  <si>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</si>
  <si>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</si>
  <si>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</si>
  <si>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</si>
  <si>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</si>
  <si>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</si>
  <si>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</si>
  <si>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</si>
  <si>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</si>
  <si>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</si>
  <si>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</si>
  <si>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</si>
  <si>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</si>
  <si>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</si>
  <si>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</si>
  <si>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</si>
  <si>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</si>
  <si>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</si>
  <si>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</si>
  <si>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</si>
  <si>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</si>
  <si>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</si>
  <si>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</si>
  <si>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</si>
  <si>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</si>
  <si>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</si>
  <si>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</si>
  <si>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</si>
  <si>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</si>
  <si>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</si>
  <si>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</si>
  <si>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</si>
  <si>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</si>
  <si>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</si>
  <si>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</si>
  <si>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</si>
  <si>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</si>
  <si>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</si>
  <si>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</si>
  <si>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</si>
  <si>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</si>
  <si>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</si>
  <si>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</si>
  <si>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</si>
  <si>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</si>
  <si>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</si>
  <si>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</si>
  <si>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</si>
  <si>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</si>
  <si>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</si>
  <si>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</si>
  <si>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</si>
  <si>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</si>
  <si>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</si>
  <si>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</si>
  <si>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</si>
  <si>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</si>
  <si>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</si>
  <si>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</si>
  <si>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</si>
  <si>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</si>
  <si>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</si>
  <si>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</si>
  <si>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</si>
  <si>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</si>
  <si>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</si>
  <si>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</si>
  <si>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</si>
  <si>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</si>
  <si>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</si>
  <si>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</si>
  <si>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</si>
  <si>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</si>
  <si>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</si>
  <si>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</si>
  <si>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</si>
  <si>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</si>
  <si>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</si>
  <si>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</si>
  <si>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</si>
  <si>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</si>
  <si>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</si>
  <si>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</si>
  <si>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</si>
  <si>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</si>
  <si>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</si>
  <si>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</si>
  <si>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</si>
  <si>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</si>
  <si>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</si>
  <si>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</si>
  <si>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</si>
  <si>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</si>
  <si>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</si>
  <si>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</si>
  <si>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</si>
  <si>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</si>
  <si>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</si>
  <si>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</si>
  <si>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</si>
  <si>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</si>
  <si>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</si>
  <si>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</si>
  <si>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</si>
  <si>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</si>
  <si>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</si>
  <si>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</si>
  <si>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</si>
  <si>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</si>
  <si>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</si>
  <si>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</si>
  <si>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</si>
  <si>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</si>
  <si>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</si>
  <si>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</si>
  <si>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</si>
  <si>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</si>
  <si>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</si>
  <si>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</si>
  <si>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</si>
  <si>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</si>
  <si>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</si>
  <si>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</si>
  <si>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</si>
  <si>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</si>
  <si>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</si>
  <si>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</si>
  <si>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</si>
  <si>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</si>
  <si>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</si>
  <si>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</si>
  <si>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</si>
  <si>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</si>
  <si>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</si>
  <si>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</si>
  <si>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</si>
  <si>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</si>
  <si>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</si>
  <si>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</si>
  <si>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</si>
  <si>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</si>
  <si>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</si>
  <si>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</si>
  <si>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</si>
  <si>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</si>
  <si>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</si>
  <si>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</si>
  <si>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</si>
  <si>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</si>
  <si>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</si>
  <si>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</si>
  <si>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</si>
  <si>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</si>
  <si>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</si>
  <si>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</si>
  <si>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</si>
  <si>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</si>
  <si>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</si>
  <si>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</si>
  <si>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</si>
  <si>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</si>
  <si>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</si>
  <si>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</si>
  <si>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</si>
  <si>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</si>
  <si>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</si>
  <si>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</si>
  <si>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</si>
  <si>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</si>
  <si>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</si>
  <si>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</si>
  <si>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</si>
  <si>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</si>
  <si>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</si>
  <si>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</si>
  <si>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</si>
  <si>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</si>
  <si>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</si>
  <si>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</si>
  <si>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</si>
  <si>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</si>
  <si>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</si>
  <si>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</si>
  <si>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</si>
  <si>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</si>
  <si>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</si>
  <si>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</si>
  <si>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</si>
  <si>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</si>
  <si>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</si>
  <si>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</si>
  <si>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</si>
  <si>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Provisión general cartera comercial</t>
  </si>
  <si>
    <t>Provisión general cartera consumo</t>
  </si>
  <si>
    <t>Provisión general cartera vivienda</t>
  </si>
  <si>
    <t>Provisión general cartera microcrédito</t>
  </si>
  <si>
    <t>Provisión general cartera educativo</t>
  </si>
  <si>
    <t>Provisión general cartera inversión pública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</si>
  <si>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</si>
  <si>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</si>
  <si>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</si>
  <si>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</si>
  <si>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</si>
  <si>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</si>
  <si>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</si>
  <si>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</si>
  <si>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</si>
  <si>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</si>
  <si>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</si>
  <si>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</si>
  <si>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</si>
  <si>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</si>
  <si>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</si>
  <si>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Fecha de consolidación: 31 de septiembre de 2012 Fecha de realización: 17 de septiembre de 2012</t>
  </si>
  <si>
    <t>Reproducción autorizada siempre que se mencione fuente y elaboración.</t>
  </si>
  <si>
    <t>amora@sbs.gob.ec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</si>
  <si>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</si>
  <si>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</si>
  <si>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</si>
  <si>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</si>
  <si>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</si>
  <si>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</si>
  <si>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</si>
  <si>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</si>
  <si>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</si>
  <si>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</si>
  <si>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</si>
  <si>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</si>
  <si>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</si>
  <si>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</si>
  <si>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</si>
  <si>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</si>
  <si>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</si>
  <si>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</si>
  <si>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</si>
  <si>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</si>
  <si>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</si>
  <si>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</si>
  <si>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</si>
  <si>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</si>
  <si>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</si>
  <si>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</si>
  <si>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</si>
  <si>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</si>
  <si>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</si>
  <si>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</si>
  <si>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</si>
  <si>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</si>
  <si>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</si>
  <si>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</si>
  <si>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</si>
  <si>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</si>
  <si>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</si>
  <si>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</si>
  <si>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</si>
  <si>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</si>
  <si>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</si>
  <si>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</si>
  <si>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</si>
  <si>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</si>
  <si>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</si>
  <si>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</si>
  <si>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</si>
  <si>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</si>
  <si>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</si>
  <si>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</si>
  <si>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</si>
  <si>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</si>
  <si>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</si>
  <si>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</si>
  <si>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</si>
  <si>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</si>
  <si>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DATOS DEL S.R.M. (En miles de dolares)</t>
  </si>
  <si>
    <t>SALDO 25 MAYORES DEPOSITANTES</t>
  </si>
  <si>
    <t>SALDO 100 MAYORES DEPOSITANTES</t>
  </si>
  <si>
    <t>ESTADO DE PÉRDIDAS Y GANANCIAS</t>
  </si>
  <si>
    <t>DESDE EL 01-ENE-2012 AL 31-SEP-2012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</si>
  <si>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</si>
  <si>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</si>
  <si>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</si>
  <si>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</si>
  <si>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</si>
  <si>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</si>
  <si>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</si>
  <si>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</si>
  <si>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</si>
  <si>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</si>
  <si>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</si>
  <si>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</si>
  <si>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</si>
  <si>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</si>
  <si>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</si>
  <si>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</si>
  <si>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</si>
  <si>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</si>
  <si>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</si>
  <si>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</si>
  <si>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</si>
  <si>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</si>
  <si>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</si>
  <si>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</si>
  <si>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</si>
  <si>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</si>
  <si>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</si>
  <si>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</si>
  <si>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</si>
  <si>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</si>
  <si>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</si>
  <si>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</si>
  <si>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</si>
  <si>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</si>
  <si>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</si>
  <si>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</si>
  <si>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</si>
  <si>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</si>
  <si>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</si>
  <si>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</si>
  <si>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</si>
  <si>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</si>
  <si>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</si>
  <si>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</si>
  <si>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</si>
  <si>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</si>
  <si>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</si>
  <si>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</si>
  <si>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</si>
  <si>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</si>
  <si>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</si>
  <si>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</si>
  <si>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</si>
  <si>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</si>
  <si>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</si>
  <si>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</si>
  <si>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</si>
  <si>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</si>
  <si>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</si>
  <si>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</si>
  <si>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</si>
  <si>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</si>
  <si>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</si>
  <si>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</si>
  <si>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</si>
  <si>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</si>
  <si>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</si>
  <si>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</si>
  <si>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</si>
  <si>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</si>
  <si>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</si>
  <si>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</si>
  <si>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</si>
  <si>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</si>
  <si>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</si>
  <si>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</si>
  <si>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</si>
  <si>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</si>
  <si>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</si>
  <si>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</si>
  <si>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</si>
  <si>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</si>
  <si>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</si>
  <si>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</si>
  <si>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</si>
  <si>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</si>
  <si>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</si>
  <si>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</si>
  <si>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</si>
  <si>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</si>
  <si>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</si>
  <si>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</si>
  <si>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</si>
  <si>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</si>
  <si>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</si>
  <si>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</si>
  <si>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</si>
  <si>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</si>
  <si>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</si>
  <si>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</si>
  <si>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</si>
  <si>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</si>
  <si>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</si>
  <si>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</si>
  <si>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</si>
  <si>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</si>
  <si>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</si>
  <si>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</si>
  <si>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</si>
  <si>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</si>
  <si>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</si>
  <si>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</si>
  <si>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</si>
  <si>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</si>
  <si>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</si>
  <si>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</si>
  <si>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</si>
  <si>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</si>
  <si>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</si>
  <si>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</si>
  <si>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</si>
  <si>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</si>
  <si>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</si>
  <si>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</si>
  <si>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</si>
  <si>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</si>
  <si>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</si>
  <si>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</si>
  <si>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</si>
  <si>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</si>
  <si>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</si>
  <si>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</si>
  <si>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</si>
  <si>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</si>
  <si>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</si>
  <si>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</si>
  <si>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</si>
  <si>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</si>
  <si>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</si>
  <si>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</si>
  <si>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</si>
  <si>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</si>
  <si>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</si>
  <si>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</si>
  <si>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</si>
  <si>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</si>
  <si>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</si>
  <si>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</si>
  <si>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</si>
  <si>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</si>
  <si>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</si>
  <si>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</si>
  <si>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</si>
  <si>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</si>
  <si>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</si>
  <si>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</si>
  <si>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</si>
  <si>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</si>
  <si>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</si>
  <si>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</si>
  <si>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</si>
  <si>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</si>
  <si>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</si>
  <si>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</si>
  <si>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</si>
  <si>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</si>
  <si>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</si>
  <si>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</si>
  <si>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</si>
  <si>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</si>
  <si>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</si>
  <si>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</si>
  <si>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</si>
  <si>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</si>
  <si>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</si>
  <si>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</si>
  <si>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</si>
  <si>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</si>
  <si>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</si>
  <si>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</si>
  <si>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</si>
  <si>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</si>
  <si>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</si>
  <si>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</si>
  <si>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SOLVENCIA PATRIMONIAL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</si>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</sst>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#,##0.00_ ;\-#,##0.00\ "/>
    <numFmt numFmtId="169" formatCode="_-* #,##0\ _$_-;\-* #,##0\ _$_-;_-* &quot;-&quot;??\ _$_-;_-@_-"/>
    <numFmt numFmtId="170" formatCode="yyyy\-mm\-dd"/>
    <numFmt numFmtId="171" formatCode="[$-C0A]dd\-mmm\-yy;@"/>
    <numFmt numFmtId="172" formatCode="mm\-yyyy"/>
    <numFmt numFmtId="173" formatCode="dd/mm/yyyy;@"/>
    <numFmt numFmtId="174" formatCode="[$-300A]d&quot; de &quot;mmmm&quot; de &quot;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u/>
      <sz val="11"/>
      <color indexed="1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1" fontId="3" fillId="3" borderId="0" xfId="1" applyNumberFormat="1" applyFont="1" applyFill="1"/>
    <xf numFmtId="0" fontId="4" fillId="0" borderId="0" xfId="1" applyFont="1"/>
    <xf numFmtId="0" fontId="4" fillId="0" borderId="0" xfId="1" applyFont="1" applyBorder="1"/>
    <xf numFmtId="0" fontId="5" fillId="0" borderId="0" xfId="1" applyFont="1"/>
    <xf numFmtId="164" fontId="4" fillId="0" borderId="0" xfId="1" applyNumberFormat="1" applyFont="1"/>
    <xf numFmtId="165" fontId="4" fillId="0" borderId="0" xfId="1" applyNumberFormat="1" applyFont="1"/>
    <xf numFmtId="166" fontId="4" fillId="0" borderId="0" xfId="1" applyNumberFormat="1" applyFont="1"/>
    <xf numFmtId="15" fontId="6" fillId="0" borderId="0" xfId="2" applyNumberFormat="1" applyFont="1" applyFill="1" applyBorder="1"/>
    <xf numFmtId="166" fontId="7" fillId="0" borderId="0" xfId="1" applyNumberFormat="1" applyFont="1"/>
    <xf numFmtId="43" fontId="4" fillId="0" borderId="0" xfId="2" applyNumberFormat="1" applyFont="1"/>
    <xf numFmtId="0" fontId="8" fillId="0" borderId="0" xfId="0" applyFont="1"/>
    <xf numFmtId="0" fontId="5" fillId="0" borderId="0" xfId="1" applyFont="1" applyAlignment="1"/>
    <xf numFmtId="0" fontId="6" fillId="0" borderId="0" xfId="1" applyFont="1"/>
    <xf numFmtId="0" fontId="6" fillId="0" borderId="0" xfId="1" applyFont="1" applyBorder="1"/>
    <xf numFmtId="1" fontId="3" fillId="3" borderId="0" xfId="2" applyNumberFormat="1" applyFont="1" applyFill="1" applyAlignment="1">
      <alignment horizontal="right" vertical="center" wrapText="1"/>
    </xf>
    <xf numFmtId="3" fontId="5" fillId="4" borderId="3" xfId="1" applyNumberFormat="1" applyFont="1" applyFill="1" applyBorder="1" applyAlignment="1">
      <alignment horizontal="center" vertical="center" wrapText="1"/>
    </xf>
    <xf numFmtId="3" fontId="5" fillId="4" borderId="2" xfId="1" applyNumberFormat="1" applyFont="1" applyFill="1" applyBorder="1" applyAlignment="1">
      <alignment horizontal="left" vertical="center" wrapText="1"/>
    </xf>
    <xf numFmtId="167" fontId="5" fillId="0" borderId="2" xfId="2" applyNumberFormat="1" applyFont="1" applyFill="1" applyBorder="1" applyAlignment="1">
      <alignment horizontal="center" vertical="center" wrapText="1"/>
    </xf>
    <xf numFmtId="167" fontId="5" fillId="0" borderId="0" xfId="2" applyNumberFormat="1" applyFont="1" applyAlignment="1">
      <alignment horizontal="right" vertical="center" wrapText="1"/>
    </xf>
    <xf numFmtId="0" fontId="8" fillId="0" borderId="5" xfId="0" applyFont="1" applyBorder="1"/>
    <xf numFmtId="0" fontId="8" fillId="0" borderId="0" xfId="0" applyFont="1" applyBorder="1"/>
    <xf numFmtId="166" fontId="8" fillId="0" borderId="0" xfId="2" applyFont="1" applyBorder="1"/>
    <xf numFmtId="0" fontId="9" fillId="0" borderId="5" xfId="0" applyFont="1" applyBorder="1"/>
    <xf numFmtId="0" fontId="9" fillId="0" borderId="0" xfId="0" applyFont="1" applyBorder="1"/>
    <xf numFmtId="0" fontId="8" fillId="0" borderId="6" xfId="0" applyFont="1" applyBorder="1"/>
    <xf numFmtId="0" fontId="8" fillId="0" borderId="7" xfId="0" applyFont="1" applyBorder="1"/>
    <xf numFmtId="166" fontId="8" fillId="0" borderId="7" xfId="2" applyFont="1" applyBorder="1"/>
    <xf numFmtId="168" fontId="8" fillId="0" borderId="0" xfId="2" applyNumberFormat="1" applyFont="1"/>
    <xf numFmtId="0" fontId="10" fillId="0" borderId="0" xfId="1" applyFont="1"/>
    <xf numFmtId="168" fontId="10" fillId="0" borderId="0" xfId="2" applyNumberFormat="1" applyFont="1"/>
    <xf numFmtId="0" fontId="11" fillId="0" borderId="0" xfId="1" applyFont="1"/>
    <xf numFmtId="0" fontId="13" fillId="0" borderId="0" xfId="3" applyFont="1" applyAlignment="1" applyProtection="1"/>
    <xf numFmtId="0" fontId="12" fillId="0" borderId="0" xfId="3" applyAlignment="1" applyProtection="1"/>
    <xf numFmtId="0" fontId="6" fillId="0" borderId="0" xfId="1" applyFont="1" applyAlignment="1">
      <alignment horizontal="center"/>
    </xf>
    <xf numFmtId="166" fontId="4" fillId="0" borderId="0" xfId="2" applyFont="1"/>
    <xf numFmtId="0" fontId="9" fillId="0" borderId="0" xfId="0" applyFont="1"/>
    <xf numFmtId="166" fontId="8" fillId="0" borderId="0" xfId="2" applyFont="1"/>
    <xf numFmtId="0" fontId="9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9" fillId="0" borderId="0" xfId="2" applyFont="1"/>
    <xf numFmtId="0" fontId="8" fillId="2" borderId="0" xfId="0" applyFont="1" applyFill="1" applyAlignment="1">
      <alignment horizontal="right"/>
    </xf>
    <xf numFmtId="0" fontId="8" fillId="2" borderId="0" xfId="0" applyFont="1" applyFill="1"/>
    <xf numFmtId="166" fontId="8" fillId="2" borderId="0" xfId="2" applyFont="1" applyFill="1"/>
    <xf numFmtId="1" fontId="14" fillId="3" borderId="0" xfId="2" applyNumberFormat="1" applyFont="1" applyFill="1" applyAlignment="1">
      <alignment horizontal="right" vertical="center" wrapText="1"/>
    </xf>
    <xf numFmtId="0" fontId="6" fillId="5" borderId="0" xfId="1" applyFont="1" applyFill="1"/>
    <xf numFmtId="166" fontId="8" fillId="5" borderId="0" xfId="2" applyFont="1" applyFill="1"/>
    <xf numFmtId="0" fontId="8" fillId="0" borderId="0" xfId="0" applyFont="1" applyAlignment="1">
      <alignment horizontal="right"/>
    </xf>
    <xf numFmtId="15" fontId="15" fillId="0" borderId="0" xfId="1" applyNumberFormat="1" applyFont="1" applyAlignment="1">
      <alignment horizontal="center"/>
    </xf>
    <xf numFmtId="1" fontId="3" fillId="3" borderId="0" xfId="0" applyNumberFormat="1" applyFont="1" applyFill="1"/>
    <xf numFmtId="0" fontId="3" fillId="3" borderId="0" xfId="1" applyFont="1" applyFill="1"/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6" fillId="0" borderId="0" xfId="1" applyFont="1"/>
    <xf numFmtId="0" fontId="4" fillId="0" borderId="0" xfId="1" applyFont="1" applyFill="1"/>
    <xf numFmtId="0" fontId="5" fillId="0" borderId="0" xfId="1" applyFont="1" applyAlignment="1">
      <alignment horizontal="left"/>
    </xf>
    <xf numFmtId="167" fontId="14" fillId="3" borderId="0" xfId="2" applyNumberFormat="1" applyFont="1" applyFill="1" applyAlignment="1">
      <alignment horizontal="right" vertical="center" wrapText="1"/>
    </xf>
    <xf numFmtId="167" fontId="5" fillId="0" borderId="4" xfId="2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4" fillId="3" borderId="0" xfId="0" applyFont="1" applyFill="1"/>
    <xf numFmtId="4" fontId="9" fillId="0" borderId="0" xfId="0" applyNumberFormat="1" applyFont="1" applyBorder="1"/>
    <xf numFmtId="4" fontId="9" fillId="0" borderId="11" xfId="0" applyNumberFormat="1" applyFont="1" applyBorder="1"/>
    <xf numFmtId="4" fontId="8" fillId="0" borderId="0" xfId="0" applyNumberFormat="1" applyFont="1" applyBorder="1"/>
    <xf numFmtId="4" fontId="8" fillId="0" borderId="11" xfId="0" applyNumberFormat="1" applyFont="1" applyBorder="1"/>
    <xf numFmtId="4" fontId="8" fillId="0" borderId="7" xfId="0" applyNumberFormat="1" applyFont="1" applyBorder="1"/>
    <xf numFmtId="0" fontId="8" fillId="0" borderId="12" xfId="0" applyFont="1" applyBorder="1"/>
    <xf numFmtId="4" fontId="8" fillId="0" borderId="0" xfId="0" applyNumberFormat="1" applyFont="1"/>
    <xf numFmtId="167" fontId="16" fillId="0" borderId="0" xfId="2" applyNumberFormat="1" applyFont="1"/>
    <xf numFmtId="170" fontId="5" fillId="0" borderId="0" xfId="1" applyNumberFormat="1" applyFont="1" applyAlignment="1">
      <alignment horizontal="left"/>
    </xf>
    <xf numFmtId="0" fontId="8" fillId="0" borderId="8" xfId="0" applyFont="1" applyBorder="1"/>
    <xf numFmtId="0" fontId="9" fillId="0" borderId="10" xfId="0" applyFont="1" applyBorder="1"/>
    <xf numFmtId="166" fontId="8" fillId="0" borderId="9" xfId="2" applyFont="1" applyBorder="1"/>
    <xf numFmtId="166" fontId="8" fillId="0" borderId="10" xfId="2" applyFont="1" applyBorder="1"/>
    <xf numFmtId="0" fontId="8" fillId="0" borderId="11" xfId="0" applyFont="1" applyBorder="1"/>
    <xf numFmtId="166" fontId="8" fillId="0" borderId="11" xfId="2" applyFont="1" applyBorder="1"/>
    <xf numFmtId="0" fontId="9" fillId="0" borderId="11" xfId="0" applyFont="1" applyBorder="1"/>
    <xf numFmtId="166" fontId="9" fillId="0" borderId="0" xfId="2" applyFont="1" applyBorder="1"/>
    <xf numFmtId="166" fontId="9" fillId="0" borderId="11" xfId="2" applyFont="1" applyBorder="1"/>
    <xf numFmtId="0" fontId="9" fillId="0" borderId="12" xfId="0" applyFont="1" applyBorder="1"/>
    <xf numFmtId="166" fontId="9" fillId="0" borderId="7" xfId="2" applyFont="1" applyBorder="1"/>
    <xf numFmtId="166" fontId="9" fillId="0" borderId="12" xfId="2" applyFont="1" applyBorder="1"/>
    <xf numFmtId="166" fontId="8" fillId="0" borderId="12" xfId="2" applyFont="1" applyBorder="1"/>
    <xf numFmtId="0" fontId="10" fillId="0" borderId="0" xfId="0" applyFont="1"/>
    <xf numFmtId="4" fontId="10" fillId="0" borderId="0" xfId="0" applyNumberFormat="1" applyFont="1"/>
    <xf numFmtId="0" fontId="9" fillId="0" borderId="8" xfId="0" applyFont="1" applyBorder="1"/>
    <xf numFmtId="0" fontId="9" fillId="0" borderId="9" xfId="0" applyFont="1" applyBorder="1"/>
    <xf numFmtId="0" fontId="5" fillId="0" borderId="0" xfId="1" applyFont="1" applyBorder="1"/>
    <xf numFmtId="0" fontId="5" fillId="0" borderId="7" xfId="1" applyFont="1" applyBorder="1"/>
    <xf numFmtId="0" fontId="3" fillId="0" borderId="0" xfId="0" applyFont="1"/>
    <xf numFmtId="166" fontId="3" fillId="0" borderId="0" xfId="0" applyNumberFormat="1" applyFont="1"/>
    <xf numFmtId="171" fontId="9" fillId="0" borderId="0" xfId="0" applyNumberFormat="1" applyFont="1" applyAlignment="1">
      <alignment horizontal="left"/>
    </xf>
    <xf numFmtId="0" fontId="17" fillId="6" borderId="0" xfId="1" applyFont="1" applyFill="1" applyBorder="1" applyAlignment="1">
      <alignment horizontal="center" vertical="center" wrapText="1"/>
    </xf>
    <xf numFmtId="172" fontId="6" fillId="0" borderId="8" xfId="1" applyNumberFormat="1" applyFont="1" applyBorder="1" applyAlignment="1">
      <alignment horizontal="left" vertical="center"/>
    </xf>
    <xf numFmtId="173" fontId="6" fillId="0" borderId="9" xfId="2" applyNumberFormat="1" applyFont="1" applyFill="1" applyBorder="1"/>
    <xf numFmtId="173" fontId="6" fillId="0" borderId="10" xfId="2" applyNumberFormat="1" applyFont="1" applyFill="1" applyBorder="1"/>
    <xf numFmtId="172" fontId="6" fillId="0" borderId="5" xfId="1" applyNumberFormat="1" applyFont="1" applyBorder="1" applyAlignment="1">
      <alignment horizontal="left" vertical="center"/>
    </xf>
    <xf numFmtId="0" fontId="6" fillId="0" borderId="0" xfId="1" applyFont="1" applyBorder="1" applyAlignment="1">
      <alignment horizontal="left" indent="6"/>
    </xf>
    <xf numFmtId="0" fontId="6" fillId="0" borderId="0" xfId="1" applyFont="1" applyBorder="1" applyAlignment="1">
      <alignment horizontal="left" indent="5"/>
    </xf>
    <xf numFmtId="0" fontId="6" fillId="0" borderId="11" xfId="1" applyFont="1" applyBorder="1" applyAlignment="1">
      <alignment horizontal="left" indent="5"/>
    </xf>
    <xf numFmtId="2" fontId="8" fillId="0" borderId="0" xfId="0" applyNumberFormat="1" applyFont="1" applyBorder="1"/>
    <xf numFmtId="2" fontId="8" fillId="0" borderId="11" xfId="0" applyNumberFormat="1" applyFont="1" applyBorder="1"/>
    <xf numFmtId="0" fontId="9" fillId="0" borderId="3" xfId="0" applyFont="1" applyBorder="1"/>
    <xf numFmtId="4" fontId="9" fillId="0" borderId="2" xfId="0" applyNumberFormat="1" applyFont="1" applyBorder="1"/>
    <xf numFmtId="2" fontId="9" fillId="0" borderId="4" xfId="0" applyNumberFormat="1" applyFont="1" applyBorder="1"/>
    <xf numFmtId="2" fontId="9" fillId="0" borderId="2" xfId="0" applyNumberFormat="1" applyFont="1" applyBorder="1"/>
    <xf numFmtId="0" fontId="9" fillId="0" borderId="4" xfId="0" applyFont="1" applyBorder="1"/>
    <xf numFmtId="0" fontId="8" fillId="0" borderId="3" xfId="0" applyFont="1" applyBorder="1"/>
    <xf numFmtId="4" fontId="8" fillId="0" borderId="2" xfId="0" applyNumberFormat="1" applyFont="1" applyBorder="1"/>
    <xf numFmtId="0" fontId="8" fillId="0" borderId="4" xfId="0" applyFont="1" applyBorder="1"/>
    <xf numFmtId="0" fontId="8" fillId="0" borderId="2" xfId="0" applyFont="1" applyBorder="1"/>
    <xf numFmtId="0" fontId="6" fillId="7" borderId="0" xfId="1" applyFont="1" applyFill="1" applyBorder="1"/>
    <xf numFmtId="0" fontId="4" fillId="0" borderId="0" xfId="1" applyFont="1" applyFill="1" applyBorder="1"/>
    <xf numFmtId="15" fontId="5" fillId="0" borderId="0" xfId="1" applyNumberFormat="1" applyFont="1"/>
    <xf numFmtId="167" fontId="5" fillId="7" borderId="0" xfId="2" applyNumberFormat="1" applyFont="1" applyFill="1" applyBorder="1" applyAlignment="1">
      <alignment horizontal="center" vertical="center" wrapText="1"/>
    </xf>
    <xf numFmtId="0" fontId="16" fillId="0" borderId="0" xfId="1" applyNumberFormat="1" applyFont="1" applyBorder="1"/>
    <xf numFmtId="0" fontId="5" fillId="0" borderId="0" xfId="1" applyNumberFormat="1" applyFont="1" applyBorder="1"/>
    <xf numFmtId="0" fontId="9" fillId="0" borderId="7" xfId="0" applyFont="1" applyBorder="1"/>
    <xf numFmtId="166" fontId="8" fillId="0" borderId="0" xfId="0" applyNumberFormat="1" applyFont="1"/>
    <xf numFmtId="169" fontId="8" fillId="0" borderId="0" xfId="0" applyNumberFormat="1" applyFont="1"/>
    <xf numFmtId="2" fontId="9" fillId="0" borderId="0" xfId="0" applyNumberFormat="1" applyFont="1" applyBorder="1"/>
    <xf numFmtId="2" fontId="9" fillId="0" borderId="11" xfId="0" applyNumberFormat="1" applyFont="1" applyBorder="1"/>
    <xf numFmtId="2" fontId="8" fillId="0" borderId="7" xfId="0" applyNumberFormat="1" applyFont="1" applyBorder="1"/>
    <xf numFmtId="2" fontId="8" fillId="0" borderId="12" xfId="0" applyNumberFormat="1" applyFont="1" applyBorder="1"/>
    <xf numFmtId="2" fontId="8" fillId="0" borderId="9" xfId="0" applyNumberFormat="1" applyFont="1" applyBorder="1"/>
    <xf numFmtId="2" fontId="8" fillId="0" borderId="10" xfId="0" applyNumberFormat="1" applyFont="1" applyBorder="1"/>
    <xf numFmtId="2" fontId="9" fillId="0" borderId="7" xfId="0" applyNumberFormat="1" applyFont="1" applyBorder="1"/>
    <xf numFmtId="2" fontId="9" fillId="0" borderId="12" xfId="0" applyNumberFormat="1" applyFont="1" applyBorder="1"/>
    <xf numFmtId="0" fontId="18" fillId="0" borderId="0" xfId="1" applyFont="1"/>
    <xf numFmtId="0" fontId="6" fillId="0" borderId="0" xfId="1" applyFont="1" applyAlignment="1">
      <alignment horizontal="left"/>
    </xf>
    <xf numFmtId="170" fontId="5" fillId="0" borderId="0" xfId="1" applyNumberFormat="1" applyFont="1" applyFill="1" applyAlignment="1">
      <alignment horizontal="left"/>
    </xf>
    <xf numFmtId="0" fontId="4" fillId="0" borderId="0" xfId="1" applyFont="1" applyAlignment="1">
      <alignment horizontal="right"/>
    </xf>
    <xf numFmtId="3" fontId="5" fillId="4" borderId="2" xfId="1" applyNumberFormat="1" applyFont="1" applyFill="1" applyBorder="1" applyAlignment="1">
      <alignment horizontal="center" vertical="center" wrapText="1"/>
    </xf>
    <xf numFmtId="167" fontId="5" fillId="0" borderId="0" xfId="2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5" xfId="0" applyNumberFormat="1" applyFont="1" applyBorder="1"/>
    <xf numFmtId="0" fontId="8" fillId="0" borderId="15" xfId="0" applyFont="1" applyBorder="1"/>
    <xf numFmtId="2" fontId="8" fillId="0" borderId="6" xfId="0" applyNumberFormat="1" applyFont="1" applyBorder="1"/>
    <xf numFmtId="0" fontId="11" fillId="0" borderId="0" xfId="1" applyFont="1" applyFill="1" applyAlignment="1">
      <alignment horizontal="right"/>
    </xf>
    <xf numFmtId="3" fontId="4" fillId="0" borderId="0" xfId="1" applyNumberFormat="1" applyFont="1"/>
    <xf numFmtId="3" fontId="16" fillId="0" borderId="0" xfId="1" applyNumberFormat="1" applyFont="1"/>
    <xf numFmtId="0" fontId="5" fillId="0" borderId="0" xfId="1" applyFont="1" applyFill="1" applyAlignment="1">
      <alignment horizontal="left"/>
    </xf>
    <xf numFmtId="3" fontId="19" fillId="0" borderId="0" xfId="3" applyNumberFormat="1" applyFont="1" applyAlignment="1" applyProtection="1"/>
    <xf numFmtId="15" fontId="5" fillId="0" borderId="0" xfId="1" applyNumberFormat="1" applyFont="1" applyFill="1" applyAlignment="1">
      <alignment horizontal="left"/>
    </xf>
    <xf numFmtId="167" fontId="16" fillId="0" borderId="0" xfId="2" applyNumberFormat="1" applyFont="1" applyAlignment="1">
      <alignment horizontal="left" vertical="center" wrapText="1"/>
    </xf>
    <xf numFmtId="167" fontId="7" fillId="0" borderId="0" xfId="2" applyNumberFormat="1" applyFont="1" applyAlignment="1">
      <alignment horizontal="right" vertical="center" wrapText="1"/>
    </xf>
    <xf numFmtId="0" fontId="4" fillId="0" borderId="8" xfId="1" applyFont="1" applyBorder="1"/>
    <xf numFmtId="0" fontId="6" fillId="0" borderId="5" xfId="1" applyFont="1" applyBorder="1"/>
    <xf numFmtId="0" fontId="4" fillId="0" borderId="5" xfId="1" applyFont="1" applyBorder="1"/>
    <xf numFmtId="2" fontId="8" fillId="0" borderId="0" xfId="0" applyNumberFormat="1" applyFont="1"/>
    <xf numFmtId="0" fontId="4" fillId="0" borderId="6" xfId="1" applyFont="1" applyBorder="1"/>
    <xf numFmtId="0" fontId="6" fillId="0" borderId="8" xfId="1" applyFont="1" applyBorder="1"/>
    <xf numFmtId="0" fontId="4" fillId="0" borderId="0" xfId="1" applyFont="1" applyAlignment="1"/>
    <xf numFmtId="15" fontId="6" fillId="0" borderId="0" xfId="1" applyNumberFormat="1" applyFont="1" applyFill="1" applyBorder="1" applyAlignment="1">
      <alignment horizontal="left"/>
    </xf>
    <xf numFmtId="174" fontId="4" fillId="0" borderId="0" xfId="1" applyNumberFormat="1" applyFont="1"/>
    <xf numFmtId="0" fontId="4" fillId="0" borderId="5" xfId="1" quotePrefix="1" applyNumberFormat="1" applyFont="1" applyBorder="1" applyAlignment="1">
      <alignment horizontal="right"/>
    </xf>
    <xf numFmtId="0" fontId="4" fillId="0" borderId="5" xfId="1" applyNumberFormat="1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4" fontId="9" fillId="0" borderId="7" xfId="0" applyNumberFormat="1" applyFont="1" applyBorder="1"/>
    <xf numFmtId="0" fontId="14" fillId="0" borderId="0" xfId="1" applyFont="1" applyAlignment="1">
      <alignment horizontal="center"/>
    </xf>
    <xf numFmtId="167" fontId="3" fillId="0" borderId="0" xfId="2" applyNumberFormat="1" applyFont="1"/>
    <xf numFmtId="167" fontId="14" fillId="0" borderId="0" xfId="2" applyNumberFormat="1" applyFont="1" applyAlignment="1">
      <alignment horizontal="right" vertical="center" wrapText="1"/>
    </xf>
  </cellXfs>
  <cellStyles count="4">
    <cellStyle name="ANCLAS,REZONES Y SUS PARTES,DE FUNDICION,DE HIERRO O DE ACERO" xfId="1"/>
    <cellStyle name="Hipervínculo" xfId="3" builtinId="8"/>
    <cellStyle name="Millares 2" xfId="2"/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5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364"/>
          <c:y val="0.33817279090113739"/>
          <c:w val="0.8412576687116563"/>
          <c:h val="0.63177952755905531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260130.65908000001</c:v>
                </c:pt>
                <c:pt idx="1">
                  <c:v>1377321.1102499999</c:v>
                </c:pt>
                <c:pt idx="2">
                  <c:v>1514532.4000800001</c:v>
                </c:pt>
                <c:pt idx="3">
                  <c:v>2227612.5454500001</c:v>
                </c:pt>
                <c:pt idx="4">
                  <c:v>408331.20366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06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3.2880342155654523</c:v>
                </c:pt>
                <c:pt idx="1">
                  <c:v>0</c:v>
                </c:pt>
                <c:pt idx="2">
                  <c:v>0</c:v>
                </c:pt>
                <c:pt idx="3">
                  <c:v>96.71196578443454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2.911784041366233</c:v>
                </c:pt>
                <c:pt idx="1">
                  <c:v>0</c:v>
                </c:pt>
                <c:pt idx="2">
                  <c:v>0</c:v>
                </c:pt>
                <c:pt idx="3">
                  <c:v>97.088215958633768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16892928"/>
        <c:axId val="216894464"/>
        <c:axId val="0"/>
      </c:bar3DChart>
      <c:catAx>
        <c:axId val="216892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6894464"/>
        <c:crosses val="autoZero"/>
        <c:auto val="1"/>
        <c:lblAlgn val="ctr"/>
        <c:lblOffset val="100"/>
        <c:noMultiLvlLbl val="0"/>
      </c:catAx>
      <c:valAx>
        <c:axId val="2168944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6892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1694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6.0559045051758069</c:v>
                </c:pt>
                <c:pt idx="1">
                  <c:v>20.744594086447517</c:v>
                </c:pt>
                <c:pt idx="2">
                  <c:v>59.677065227492946</c:v>
                </c:pt>
                <c:pt idx="3">
                  <c:v>13.522436180883734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5.5324654232631971</c:v>
                </c:pt>
                <c:pt idx="1">
                  <c:v>21.003345315189133</c:v>
                </c:pt>
                <c:pt idx="2">
                  <c:v>58.097490652115383</c:v>
                </c:pt>
                <c:pt idx="3">
                  <c:v>15.366698609432284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16875392"/>
        <c:axId val="216876928"/>
        <c:axId val="0"/>
      </c:bar3DChart>
      <c:catAx>
        <c:axId val="2168753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6876928"/>
        <c:crosses val="autoZero"/>
        <c:auto val="1"/>
        <c:lblAlgn val="ctr"/>
        <c:lblOffset val="100"/>
        <c:noMultiLvlLbl val="0"/>
      </c:catAx>
      <c:valAx>
        <c:axId val="21687692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6875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459E-2"/>
          <c:y val="0.16101286898609041"/>
          <c:w val="0.84040933945756791"/>
          <c:h val="0.5021788823753859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4.6469964892030822</c:v>
                </c:pt>
                <c:pt idx="1">
                  <c:v>32.90883963935714</c:v>
                </c:pt>
                <c:pt idx="2">
                  <c:v>39.836603523840282</c:v>
                </c:pt>
                <c:pt idx="3">
                  <c:v>22.607560347599502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4.6469964892030822</c:v>
                </c:pt>
                <c:pt idx="1">
                  <c:v>32.90883963935714</c:v>
                </c:pt>
                <c:pt idx="2">
                  <c:v>39.836603523840282</c:v>
                </c:pt>
                <c:pt idx="3">
                  <c:v>22.607560347599502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17005056"/>
        <c:axId val="217027328"/>
        <c:axId val="0"/>
      </c:bar3DChart>
      <c:catAx>
        <c:axId val="217005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7027328"/>
        <c:crosses val="autoZero"/>
        <c:auto val="1"/>
        <c:lblAlgn val="ctr"/>
        <c:lblOffset val="100"/>
        <c:noMultiLvlLbl val="0"/>
      </c:catAx>
      <c:valAx>
        <c:axId val="21702732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7005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21"/>
          <c:w val="0.81183289588801399"/>
          <c:h val="0.4274310557151919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-3.9910087598866002</c:v>
                </c:pt>
                <c:pt idx="1">
                  <c:v>37.255105796362173</c:v>
                </c:pt>
                <c:pt idx="2">
                  <c:v>79.294352880254223</c:v>
                </c:pt>
                <c:pt idx="3">
                  <c:v>-12.558449916729799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-6.2331326199354491</c:v>
                </c:pt>
                <c:pt idx="1">
                  <c:v>41.735759127752651</c:v>
                </c:pt>
                <c:pt idx="2">
                  <c:v>77.17177673983484</c:v>
                </c:pt>
                <c:pt idx="3">
                  <c:v>-12.674403247652045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17053056"/>
        <c:axId val="217054592"/>
        <c:axId val="0"/>
      </c:bar3DChart>
      <c:catAx>
        <c:axId val="217053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7054592"/>
        <c:crosses val="autoZero"/>
        <c:auto val="1"/>
        <c:lblAlgn val="ctr"/>
        <c:lblOffset val="100"/>
        <c:noMultiLvlLbl val="0"/>
      </c:catAx>
      <c:valAx>
        <c:axId val="2170545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7053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39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684"/>
          <c:w val="0.84083850931677029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183493.60060999999</c:v>
                </c:pt>
                <c:pt idx="1">
                  <c:v>929373.24679</c:v>
                </c:pt>
                <c:pt idx="2">
                  <c:v>1111302.22538</c:v>
                </c:pt>
                <c:pt idx="3">
                  <c:v>1340639.9969899999</c:v>
                </c:pt>
                <c:pt idx="4">
                  <c:v>40222.585950000001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1824"/>
          <c:w val="0.84430056988477709"/>
          <c:h val="0.63835326665247949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82054.717470000003</c:v>
                </c:pt>
                <c:pt idx="1">
                  <c:v>411672.34602</c:v>
                </c:pt>
                <c:pt idx="2">
                  <c:v>414246.40025000001</c:v>
                </c:pt>
                <c:pt idx="3">
                  <c:v>819897.06710999995</c:v>
                </c:pt>
                <c:pt idx="4">
                  <c:v>363639.52811999997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517"/>
          <c:w val="0.84430056988477709"/>
          <c:h val="0.6357669635557851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0494E-2"/>
                  <c:y val="-2.25183942171163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171838.32339999999</c:v>
                </c:pt>
                <c:pt idx="1">
                  <c:v>936618.43749000004</c:v>
                </c:pt>
                <c:pt idx="2">
                  <c:v>818648.83354999998</c:v>
                </c:pt>
                <c:pt idx="3">
                  <c:v>1121186.24346</c:v>
                </c:pt>
                <c:pt idx="4">
                  <c:v>273453.80021999998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03"/>
          <c:y val="0.21800314238243168"/>
          <c:w val="0.72521489501312342"/>
          <c:h val="0.362827782995015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5.2073143401905639</c:v>
                </c:pt>
                <c:pt idx="1">
                  <c:v>24.854609812825782</c:v>
                </c:pt>
                <c:pt idx="2">
                  <c:v>42.825730388973462</c:v>
                </c:pt>
                <c:pt idx="3">
                  <c:v>27.112345458010189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4.835504831829569</c:v>
                </c:pt>
                <c:pt idx="1">
                  <c:v>25.602683309799808</c:v>
                </c:pt>
                <c:pt idx="2">
                  <c:v>41.408541634667351</c:v>
                </c:pt>
                <c:pt idx="3">
                  <c:v>28.153270223703281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15469440"/>
        <c:axId val="215721088"/>
        <c:axId val="0"/>
      </c:bar3DChart>
      <c:catAx>
        <c:axId val="21546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5721088"/>
        <c:crosses val="autoZero"/>
        <c:auto val="1"/>
        <c:lblAlgn val="ctr"/>
        <c:lblOffset val="100"/>
        <c:noMultiLvlLbl val="0"/>
      </c:catAx>
      <c:valAx>
        <c:axId val="21572108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5469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>
              <a:defRPr/>
            </a:pPr>
            <a:r>
              <a:rPr lang="es-ES" baseline="0"/>
              <a:t>INVERSIONES BRUTAS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45953630796152E-2"/>
          <c:y val="0.19087031459777204"/>
          <c:w val="0.82878423009623792"/>
          <c:h val="0.4155034652926449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RK!$V$9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RK!$V$12:$V$15</c:f>
              <c:numCache>
                <c:formatCode>0.00</c:formatCode>
                <c:ptCount val="4"/>
                <c:pt idx="0">
                  <c:v>2.7529921471869581</c:v>
                </c:pt>
                <c:pt idx="1">
                  <c:v>18.809794611103491</c:v>
                </c:pt>
                <c:pt idx="2">
                  <c:v>49.677595753184775</c:v>
                </c:pt>
                <c:pt idx="3">
                  <c:v>28.759617488524786</c:v>
                </c:pt>
              </c:numCache>
            </c:numRef>
          </c:val>
        </c:ser>
        <c:ser>
          <c:idx val="1"/>
          <c:order val="1"/>
          <c:tx>
            <c:strRef>
              <c:f>RK!$X$9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RK!$X$12:$X$15</c:f>
              <c:numCache>
                <c:formatCode>#,##0.00</c:formatCode>
                <c:ptCount val="4"/>
                <c:pt idx="0">
                  <c:v>1.4606799160805306</c:v>
                </c:pt>
                <c:pt idx="1">
                  <c:v>10.412940798376253</c:v>
                </c:pt>
                <c:pt idx="2">
                  <c:v>25.288005145562149</c:v>
                </c:pt>
                <c:pt idx="3">
                  <c:v>16.813738049984753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15689472"/>
        <c:axId val="215691264"/>
        <c:axId val="0"/>
      </c:bar3DChart>
      <c:catAx>
        <c:axId val="215689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5691264"/>
        <c:crosses val="autoZero"/>
        <c:auto val="1"/>
        <c:lblAlgn val="ctr"/>
        <c:lblOffset val="100"/>
        <c:noMultiLvlLbl val="0"/>
      </c:catAx>
      <c:valAx>
        <c:axId val="2156912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5689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383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5.6507266871602368</c:v>
                </c:pt>
                <c:pt idx="1">
                  <c:v>25.125532241271969</c:v>
                </c:pt>
                <c:pt idx="2">
                  <c:v>39.613905491616784</c:v>
                </c:pt>
                <c:pt idx="3">
                  <c:v>29.609835579951003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5.1473612476485009</c:v>
                </c:pt>
                <c:pt idx="1">
                  <c:v>26.070772055401072</c:v>
                </c:pt>
                <c:pt idx="2">
                  <c:v>37.607624160261054</c:v>
                </c:pt>
                <c:pt idx="3">
                  <c:v>31.174242536689366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16081536"/>
        <c:axId val="216083072"/>
        <c:axId val="0"/>
      </c:bar3DChart>
      <c:catAx>
        <c:axId val="216081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6083072"/>
        <c:crosses val="autoZero"/>
        <c:auto val="1"/>
        <c:lblAlgn val="ctr"/>
        <c:lblOffset val="100"/>
        <c:noMultiLvlLbl val="0"/>
      </c:catAx>
      <c:valAx>
        <c:axId val="21608307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6081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1694E-2"/>
          <c:y val="0.16472043790578808"/>
          <c:w val="0.83771489501312346"/>
          <c:h val="0.467019443293272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5.7025106830084233</c:v>
                </c:pt>
                <c:pt idx="1">
                  <c:v>29.574780681560963</c:v>
                </c:pt>
                <c:pt idx="2">
                  <c:v>36.220213935820297</c:v>
                </c:pt>
                <c:pt idx="3">
                  <c:v>28.502494699610299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5.7851963727228011</c:v>
                </c:pt>
                <c:pt idx="1">
                  <c:v>29.104321580930886</c:v>
                </c:pt>
                <c:pt idx="2">
                  <c:v>36.720657658183676</c:v>
                </c:pt>
                <c:pt idx="3">
                  <c:v>28.389824388162623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216363008"/>
        <c:axId val="216364544"/>
        <c:axId val="0"/>
      </c:bar3DChart>
      <c:catAx>
        <c:axId val="216363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6364544"/>
        <c:crosses val="autoZero"/>
        <c:auto val="1"/>
        <c:lblAlgn val="ctr"/>
        <c:lblOffset val="100"/>
        <c:noMultiLvlLbl val="0"/>
      </c:catAx>
      <c:valAx>
        <c:axId val="216364544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216363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1694E-2"/>
          <c:y val="0.17816741874783057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31/08/2012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4.7649190247014035</c:v>
                </c:pt>
                <c:pt idx="1">
                  <c:v>23.6868417386186</c:v>
                </c:pt>
                <c:pt idx="2">
                  <c:v>47.532161933721596</c:v>
                </c:pt>
                <c:pt idx="3">
                  <c:v>24.016077302958404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4.748892697975144</c:v>
                </c:pt>
                <c:pt idx="1">
                  <c:v>23.825416237493442</c:v>
                </c:pt>
                <c:pt idx="2">
                  <c:v>47.45130219372767</c:v>
                </c:pt>
                <c:pt idx="3">
                  <c:v>23.974388870803747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16128128"/>
        <c:axId val="216129920"/>
        <c:axId val="0"/>
      </c:bar3DChart>
      <c:catAx>
        <c:axId val="216128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6129920"/>
        <c:crosses val="autoZero"/>
        <c:auto val="1"/>
        <c:lblAlgn val="ctr"/>
        <c:lblOffset val="100"/>
        <c:noMultiLvlLbl val="0"/>
      </c:catAx>
      <c:valAx>
        <c:axId val="21612992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6128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723900</xdr:colOff>
      <xdr:row>1</xdr:row>
      <xdr:rowOff>12700</xdr:rowOff>
    </xdr:from>
    <xdr:to>
      <xdr:col>24</xdr:col>
      <xdr:colOff>723900</xdr:colOff>
      <xdr:row>32</xdr:row>
      <xdr:rowOff>12700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cmora/CONFIG~1/Temp/C.Lotus.Notes.Data/BOLETIN%20PRUEBA%20AGOSTO%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estatales/banca%20publica%20Anita%20Mora/BOLETIN%20DE%20BANCA%20PUBLICA/NUEVA%20PLANTILLA%20BOL_PUB_SEP_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"/>
      <sheetName val="BAL SAB II"/>
      <sheetName val="EPyG SAB II"/>
      <sheetName val="CONSCOND"/>
      <sheetName val="BALCONS"/>
      <sheetName val="BALCONS %"/>
      <sheetName val="GRAFICOS"/>
      <sheetName val="RK "/>
      <sheetName val="GRAF RK"/>
      <sheetName val="COMPOS CART"/>
      <sheetName val="COMPOS CART %"/>
      <sheetName val="CAPCOL x PLAZOS"/>
      <sheetName val="EPyG"/>
      <sheetName val="EPyG %"/>
      <sheetName val="INDIC"/>
      <sheetName val="VALIDACION INDIC"/>
      <sheetName val="MAF INDIC"/>
      <sheetName val="PT WEB1"/>
      <sheetName val="REP GERENCIAL"/>
      <sheetName val="CARTxPLAZ"/>
      <sheetName val="BALSERIES"/>
      <sheetName val="EPyGSERIES"/>
      <sheetName val="IND LDN"/>
      <sheetName val="Hoja1"/>
    </sheetNames>
    <sheetDataSet>
      <sheetData sheetId="0" refreshError="1"/>
      <sheetData sheetId="1">
        <row r="3">
          <cell r="B3" t="str">
            <v>SISTEMA DE COOPERATIVAS DE AHORRO Y CRÉDITO</v>
          </cell>
        </row>
        <row r="4">
          <cell r="B4">
            <v>41121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B2" t="str">
            <v>31 de DICIEMBRE de 2011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"/>
      <sheetName val="BALANCE"/>
      <sheetName val="PYG"/>
      <sheetName val="CONSCOND"/>
      <sheetName val="BALCONS"/>
      <sheetName val="BALCONS %"/>
      <sheetName val="GRAFICOS"/>
      <sheetName val="RK"/>
      <sheetName val="GRAFICOS RK"/>
      <sheetName val="COMPOS CART"/>
      <sheetName val="COMPOS CART %"/>
      <sheetName val="EPyG"/>
      <sheetName val="EPyG %"/>
      <sheetName val="INDICADORES"/>
      <sheetName val="REP GERENCIAL"/>
      <sheetName val="CART X PLAZOS"/>
    </sheetNames>
    <sheetDataSet>
      <sheetData sheetId="0">
        <row r="2">
          <cell r="C2" t="str">
            <v>PROMEDIO</v>
          </cell>
          <cell r="D2" t="str">
            <v>MES ACTUAL</v>
          </cell>
          <cell r="E2" t="str">
            <v>BANCO ECUATORIANO DE LA VIVIENDA</v>
          </cell>
          <cell r="F2" t="str">
            <v>INSTITUCIONES FINANCIERAS DE SEGUNDO PISO</v>
          </cell>
          <cell r="G2" t="str">
            <v>BANCO DEL ESTADO</v>
          </cell>
          <cell r="H2" t="str">
            <v>BANCO NACIONAL DE FOMENTO</v>
          </cell>
          <cell r="I2" t="str">
            <v>CORPORACION FINANCIERA NACIONAL</v>
          </cell>
          <cell r="J2" t="str">
            <v>INSTITUCIONES FINANCIERAS DE PRIMER  PISO</v>
          </cell>
          <cell r="K2" t="str">
            <v>TOTAL BANCA PÚBLICA</v>
          </cell>
          <cell r="L2" t="str">
            <v>IECE</v>
          </cell>
        </row>
        <row r="4">
          <cell r="B4">
            <v>1</v>
          </cell>
          <cell r="C4" t="str">
            <v>ACTIVO</v>
          </cell>
          <cell r="D4">
            <v>40908</v>
          </cell>
          <cell r="E4">
            <v>295217.33078000002</v>
          </cell>
          <cell r="F4">
            <v>295217.33078000002</v>
          </cell>
          <cell r="G4">
            <v>1239040.3428799999</v>
          </cell>
          <cell r="H4">
            <v>1342395.37317</v>
          </cell>
          <cell r="I4">
            <v>1513041.81648</v>
          </cell>
          <cell r="J4">
            <v>4094477.53253</v>
          </cell>
          <cell r="K4">
            <v>4389694.8633099999</v>
          </cell>
          <cell r="L4">
            <v>330656.48453999998</v>
          </cell>
        </row>
        <row r="5">
          <cell r="B5">
            <v>1</v>
          </cell>
          <cell r="C5" t="str">
            <v>ACTIVO</v>
          </cell>
          <cell r="D5">
            <v>40939</v>
          </cell>
          <cell r="E5">
            <v>291424.29054999998</v>
          </cell>
          <cell r="F5">
            <v>291424.29054999998</v>
          </cell>
          <cell r="G5">
            <v>1243823.0638900001</v>
          </cell>
          <cell r="H5">
            <v>1448992.5746599999</v>
          </cell>
          <cell r="I5">
            <v>1831306.29734</v>
          </cell>
          <cell r="J5">
            <v>4524121.9358900003</v>
          </cell>
          <cell r="K5">
            <v>4815546.2264400003</v>
          </cell>
          <cell r="L5">
            <v>338655.57378999999</v>
          </cell>
        </row>
        <row r="6">
          <cell r="B6">
            <v>1</v>
          </cell>
          <cell r="C6" t="str">
            <v>ACTIVO</v>
          </cell>
          <cell r="D6">
            <v>40968</v>
          </cell>
          <cell r="E6">
            <v>288013.17242999998</v>
          </cell>
          <cell r="F6">
            <v>288013.17242999998</v>
          </cell>
          <cell r="G6">
            <v>1236733.2770199999</v>
          </cell>
          <cell r="H6">
            <v>1449182.0130400001</v>
          </cell>
          <cell r="I6">
            <v>1832388.08938</v>
          </cell>
          <cell r="J6">
            <v>4518303.3794400003</v>
          </cell>
          <cell r="K6">
            <v>4806316.5518700005</v>
          </cell>
          <cell r="L6">
            <v>347934.47457000002</v>
          </cell>
        </row>
        <row r="7">
          <cell r="B7">
            <v>1</v>
          </cell>
          <cell r="C7" t="str">
            <v>ACTIVO</v>
          </cell>
          <cell r="D7">
            <v>40999</v>
          </cell>
          <cell r="E7">
            <v>285468.34940000001</v>
          </cell>
          <cell r="F7">
            <v>285468.34940000001</v>
          </cell>
          <cell r="G7">
            <v>1345714.7644199999</v>
          </cell>
          <cell r="H7">
            <v>1481256.5224200001</v>
          </cell>
          <cell r="I7">
            <v>2049481.7059599999</v>
          </cell>
          <cell r="J7">
            <v>4876452.9928000001</v>
          </cell>
          <cell r="K7">
            <v>5161921.3421999998</v>
          </cell>
          <cell r="L7">
            <v>353370.74878000002</v>
          </cell>
        </row>
        <row r="8">
          <cell r="B8">
            <v>1</v>
          </cell>
          <cell r="C8" t="str">
            <v>ACTIVO</v>
          </cell>
          <cell r="D8">
            <v>41029</v>
          </cell>
          <cell r="E8">
            <v>285491.12624000001</v>
          </cell>
          <cell r="F8">
            <v>285491.12624000001</v>
          </cell>
          <cell r="G8">
            <v>1327142.6511899999</v>
          </cell>
          <cell r="H8">
            <v>1397871.69331</v>
          </cell>
          <cell r="I8">
            <v>2134951.90631</v>
          </cell>
          <cell r="J8">
            <v>4859966.2508100001</v>
          </cell>
          <cell r="K8">
            <v>5145457.3770500002</v>
          </cell>
          <cell r="L8">
            <v>357815.52525000001</v>
          </cell>
        </row>
        <row r="9">
          <cell r="B9">
            <v>1</v>
          </cell>
          <cell r="C9" t="str">
            <v>ACTIVO</v>
          </cell>
          <cell r="D9">
            <v>41060</v>
          </cell>
          <cell r="E9">
            <v>272418.17317000002</v>
          </cell>
          <cell r="F9">
            <v>272418.17317000002</v>
          </cell>
          <cell r="G9">
            <v>1326745.2080900001</v>
          </cell>
          <cell r="H9">
            <v>1435409.5793399999</v>
          </cell>
          <cell r="I9">
            <v>2209362.9006500002</v>
          </cell>
          <cell r="J9">
            <v>4971517.6880799998</v>
          </cell>
          <cell r="K9">
            <v>5243935.8612500001</v>
          </cell>
          <cell r="L9">
            <v>367508.80046</v>
          </cell>
        </row>
        <row r="10">
          <cell r="B10">
            <v>1</v>
          </cell>
          <cell r="C10" t="str">
            <v>ACTIVO</v>
          </cell>
          <cell r="D10">
            <v>41090</v>
          </cell>
          <cell r="E10">
            <v>275248.94267999998</v>
          </cell>
          <cell r="F10">
            <v>275248.94267999998</v>
          </cell>
          <cell r="G10">
            <v>1340256.02248</v>
          </cell>
          <cell r="H10">
            <v>1417873.1842100001</v>
          </cell>
          <cell r="I10">
            <v>2185360.8569399999</v>
          </cell>
          <cell r="J10">
            <v>4943490.0636299998</v>
          </cell>
          <cell r="K10">
            <v>5218739.0063100001</v>
          </cell>
          <cell r="L10">
            <v>381805.55437000003</v>
          </cell>
        </row>
        <row r="11">
          <cell r="B11">
            <v>1</v>
          </cell>
          <cell r="C11" t="str">
            <v>ACTIVO</v>
          </cell>
          <cell r="D11">
            <v>41121</v>
          </cell>
          <cell r="E11">
            <v>278134.25321</v>
          </cell>
          <cell r="F11">
            <v>278134.25321</v>
          </cell>
          <cell r="G11">
            <v>1327311.2633499999</v>
          </cell>
          <cell r="H11">
            <v>1401441.8581900001</v>
          </cell>
          <cell r="I11">
            <v>2199001.5541699999</v>
          </cell>
          <cell r="J11">
            <v>4927754.6757100001</v>
          </cell>
          <cell r="K11">
            <v>5205888.9289199999</v>
          </cell>
          <cell r="L11">
            <v>388825.56039</v>
          </cell>
        </row>
        <row r="12">
          <cell r="B12">
            <v>1</v>
          </cell>
          <cell r="C12" t="str">
            <v>ACTIVO</v>
          </cell>
          <cell r="D12">
            <v>41152</v>
          </cell>
          <cell r="E12">
            <v>276645.46262000001</v>
          </cell>
          <cell r="F12">
            <v>276645.46262000001</v>
          </cell>
          <cell r="G12">
            <v>1320434.02428</v>
          </cell>
          <cell r="H12">
            <v>1440379.2169900001</v>
          </cell>
          <cell r="I12">
            <v>2275173.5773</v>
          </cell>
          <cell r="J12">
            <v>5035986.8185700001</v>
          </cell>
          <cell r="K12">
            <v>5312632.2811900005</v>
          </cell>
          <cell r="L12">
            <v>393063.13906999998</v>
          </cell>
        </row>
        <row r="17">
          <cell r="B17">
            <v>1</v>
          </cell>
          <cell r="C17" t="str">
            <v>ACTIVO</v>
          </cell>
          <cell r="D17">
            <v>41182</v>
          </cell>
          <cell r="E17">
            <v>260130.65908000001</v>
          </cell>
          <cell r="F17">
            <v>260130.65908000001</v>
          </cell>
          <cell r="G17">
            <v>1377321.1102499999</v>
          </cell>
          <cell r="H17">
            <v>1514532.4000800001</v>
          </cell>
          <cell r="I17">
            <v>2227612.5454500001</v>
          </cell>
          <cell r="J17">
            <v>5119466.0557800001</v>
          </cell>
          <cell r="K17">
            <v>5379596.7148599997</v>
          </cell>
          <cell r="L17">
            <v>408331.20366</v>
          </cell>
        </row>
        <row r="18">
          <cell r="B18">
            <v>1</v>
          </cell>
          <cell r="C18" t="str">
            <v>ACTIVO</v>
          </cell>
          <cell r="D18" t="str">
            <v>PROMEDIO</v>
          </cell>
          <cell r="E18">
            <v>280819.17601599998</v>
          </cell>
          <cell r="F18">
            <v>280819.17601599998</v>
          </cell>
          <cell r="G18">
            <v>1308452.1727850002</v>
          </cell>
          <cell r="H18">
            <v>1432933.441541</v>
          </cell>
          <cell r="I18">
            <v>2045768.1249980002</v>
          </cell>
          <cell r="J18">
            <v>4787153.7393240007</v>
          </cell>
          <cell r="K18">
            <v>5067972.9153400008</v>
          </cell>
          <cell r="L18">
            <v>366796.706488</v>
          </cell>
        </row>
        <row r="20">
          <cell r="B20">
            <v>2</v>
          </cell>
          <cell r="C20" t="str">
            <v>PASIVO</v>
          </cell>
          <cell r="D20">
            <v>40908</v>
          </cell>
          <cell r="E20">
            <v>213080.48939</v>
          </cell>
          <cell r="F20">
            <v>213080.48939</v>
          </cell>
          <cell r="G20">
            <v>827686.20090000005</v>
          </cell>
          <cell r="H20">
            <v>929397.00401000003</v>
          </cell>
          <cell r="I20">
            <v>1032614.77019</v>
          </cell>
          <cell r="J20">
            <v>2789697.9750999999</v>
          </cell>
          <cell r="K20">
            <v>3002778.4644900002</v>
          </cell>
          <cell r="L20">
            <v>23900.26339</v>
          </cell>
        </row>
        <row r="21">
          <cell r="B21">
            <v>2</v>
          </cell>
          <cell r="C21" t="str">
            <v>PASIVO</v>
          </cell>
          <cell r="D21">
            <v>40939</v>
          </cell>
          <cell r="E21">
            <v>212441.60324</v>
          </cell>
          <cell r="F21">
            <v>212441.60324</v>
          </cell>
          <cell r="G21">
            <v>824640.60386000003</v>
          </cell>
          <cell r="H21">
            <v>1034573.40686</v>
          </cell>
          <cell r="I21">
            <v>1012926.30026</v>
          </cell>
          <cell r="J21">
            <v>2872140.3109800001</v>
          </cell>
          <cell r="K21">
            <v>3084581.9142200002</v>
          </cell>
          <cell r="L21">
            <v>23832.364679999999</v>
          </cell>
        </row>
        <row r="22">
          <cell r="B22">
            <v>2</v>
          </cell>
          <cell r="C22" t="str">
            <v>PASIVO</v>
          </cell>
          <cell r="D22">
            <v>40968</v>
          </cell>
          <cell r="E22">
            <v>208909.16446999999</v>
          </cell>
          <cell r="F22">
            <v>208909.16446999999</v>
          </cell>
          <cell r="G22">
            <v>810375.95291999995</v>
          </cell>
          <cell r="H22">
            <v>1037744.66503</v>
          </cell>
          <cell r="I22">
            <v>997698.76566000003</v>
          </cell>
          <cell r="J22">
            <v>2845819.3836099999</v>
          </cell>
          <cell r="K22">
            <v>3054728.5480800001</v>
          </cell>
          <cell r="L22">
            <v>24628.889469999998</v>
          </cell>
        </row>
        <row r="23">
          <cell r="B23">
            <v>2</v>
          </cell>
          <cell r="C23" t="str">
            <v>PASIVO</v>
          </cell>
          <cell r="D23">
            <v>40999</v>
          </cell>
          <cell r="E23">
            <v>207588.49686000001</v>
          </cell>
          <cell r="F23">
            <v>207588.49686000001</v>
          </cell>
          <cell r="G23">
            <v>911599.00477999996</v>
          </cell>
          <cell r="H23">
            <v>1072199.9241200001</v>
          </cell>
          <cell r="I23">
            <v>1217255.6703699999</v>
          </cell>
          <cell r="J23">
            <v>3201054.5992700001</v>
          </cell>
          <cell r="K23">
            <v>3408643.09613</v>
          </cell>
          <cell r="L23">
            <v>24724.014810000001</v>
          </cell>
        </row>
        <row r="24">
          <cell r="B24">
            <v>2</v>
          </cell>
          <cell r="C24" t="str">
            <v>PASIVO</v>
          </cell>
          <cell r="D24">
            <v>41029</v>
          </cell>
          <cell r="E24">
            <v>206018.0741</v>
          </cell>
          <cell r="F24">
            <v>206018.0741</v>
          </cell>
          <cell r="G24">
            <v>916611.20953999995</v>
          </cell>
          <cell r="H24">
            <v>988809.95562999998</v>
          </cell>
          <cell r="I24">
            <v>1293401.3564299999</v>
          </cell>
          <cell r="J24">
            <v>3198822.5215999996</v>
          </cell>
          <cell r="K24">
            <v>3404840.5956999995</v>
          </cell>
          <cell r="L24">
            <v>24938.21369</v>
          </cell>
        </row>
        <row r="25">
          <cell r="B25">
            <v>2</v>
          </cell>
          <cell r="C25" t="str">
            <v>PASIVO</v>
          </cell>
          <cell r="D25">
            <v>41060</v>
          </cell>
          <cell r="E25">
            <v>194268.78216</v>
          </cell>
          <cell r="F25">
            <v>194268.78216</v>
          </cell>
          <cell r="G25">
            <v>909246.73526999995</v>
          </cell>
          <cell r="H25">
            <v>1026480.1208799999</v>
          </cell>
          <cell r="I25">
            <v>1353216.6884699999</v>
          </cell>
          <cell r="J25">
            <v>3288943.5446199998</v>
          </cell>
          <cell r="K25">
            <v>3483212.3267799998</v>
          </cell>
          <cell r="L25">
            <v>30842.746200000001</v>
          </cell>
        </row>
        <row r="26">
          <cell r="B26">
            <v>2</v>
          </cell>
          <cell r="C26" t="str">
            <v>PASIVO</v>
          </cell>
          <cell r="D26">
            <v>41090</v>
          </cell>
          <cell r="E26">
            <v>196869.57498999999</v>
          </cell>
          <cell r="F26">
            <v>196869.57498999999</v>
          </cell>
          <cell r="G26">
            <v>914823.24798999995</v>
          </cell>
          <cell r="H26">
            <v>1013686.59926</v>
          </cell>
          <cell r="I26">
            <v>1322245.1513499999</v>
          </cell>
          <cell r="J26">
            <v>3250754.9986</v>
          </cell>
          <cell r="K26">
            <v>3447624.5735900002</v>
          </cell>
          <cell r="L26">
            <v>34484.161800000002</v>
          </cell>
        </row>
        <row r="27">
          <cell r="B27">
            <v>2</v>
          </cell>
          <cell r="C27" t="str">
            <v>PASIVO</v>
          </cell>
          <cell r="D27">
            <v>41121</v>
          </cell>
          <cell r="E27">
            <v>199452.36606</v>
          </cell>
          <cell r="F27">
            <v>199452.36606</v>
          </cell>
          <cell r="G27">
            <v>894382.40645000001</v>
          </cell>
          <cell r="H27">
            <v>998004.61812</v>
          </cell>
          <cell r="I27">
            <v>1327615.4808</v>
          </cell>
          <cell r="J27">
            <v>3220002.5053699999</v>
          </cell>
          <cell r="K27">
            <v>3419454.8714299998</v>
          </cell>
          <cell r="L27">
            <v>34361.536840000001</v>
          </cell>
        </row>
        <row r="28">
          <cell r="B28">
            <v>2</v>
          </cell>
          <cell r="C28" t="str">
            <v>PASIVO</v>
          </cell>
          <cell r="D28">
            <v>41152</v>
          </cell>
          <cell r="E28">
            <v>197900.69505000001</v>
          </cell>
          <cell r="F28">
            <v>197900.69505000001</v>
          </cell>
          <cell r="G28">
            <v>879950.59207999997</v>
          </cell>
          <cell r="H28">
            <v>1037000.61355</v>
          </cell>
          <cell r="I28">
            <v>1387364.82305</v>
          </cell>
          <cell r="J28">
            <v>3304316.02868</v>
          </cell>
          <cell r="K28">
            <v>3502216.7237300002</v>
          </cell>
          <cell r="L28">
            <v>28787.219109999998</v>
          </cell>
        </row>
        <row r="33">
          <cell r="B33">
            <v>2</v>
          </cell>
          <cell r="C33" t="str">
            <v>PASIVO</v>
          </cell>
          <cell r="D33">
            <v>41182</v>
          </cell>
          <cell r="E33">
            <v>183493.60060999999</v>
          </cell>
          <cell r="F33">
            <v>183493.60060999999</v>
          </cell>
          <cell r="G33">
            <v>929373.24679</v>
          </cell>
          <cell r="H33">
            <v>1111302.22538</v>
          </cell>
          <cell r="I33">
            <v>1340639.9969899999</v>
          </cell>
          <cell r="J33">
            <v>3381315.4691599999</v>
          </cell>
          <cell r="K33">
            <v>3564809.0697699999</v>
          </cell>
          <cell r="L33">
            <v>40222.585950000001</v>
          </cell>
        </row>
        <row r="34">
          <cell r="B34">
            <v>2</v>
          </cell>
          <cell r="C34" t="str">
            <v>PASIVO</v>
          </cell>
          <cell r="D34" t="str">
            <v>PROMEDIO</v>
          </cell>
          <cell r="E34">
            <v>202002.28469299997</v>
          </cell>
          <cell r="F34">
            <v>202002.28469299997</v>
          </cell>
          <cell r="G34">
            <v>881868.9200579999</v>
          </cell>
          <cell r="H34">
            <v>1024919.913284</v>
          </cell>
          <cell r="I34">
            <v>1228497.9003569998</v>
          </cell>
          <cell r="J34">
            <v>3135286.733699</v>
          </cell>
          <cell r="K34">
            <v>3337289.0183919999</v>
          </cell>
          <cell r="L34">
            <v>29072.199593999998</v>
          </cell>
        </row>
        <row r="36">
          <cell r="B36" t="str">
            <v>14-1499</v>
          </cell>
          <cell r="C36" t="str">
            <v>CARTERA BRUTA</v>
          </cell>
          <cell r="D36">
            <v>40908</v>
          </cell>
          <cell r="E36">
            <v>162205.88749999998</v>
          </cell>
          <cell r="F36">
            <v>162205.88749999998</v>
          </cell>
          <cell r="G36">
            <v>926961.97661000001</v>
          </cell>
          <cell r="H36">
            <v>999198.35158000002</v>
          </cell>
          <cell r="I36">
            <v>1016246.34978</v>
          </cell>
          <cell r="J36">
            <v>2942406.6779700001</v>
          </cell>
          <cell r="K36">
            <v>3104612.5654700003</v>
          </cell>
          <cell r="L36">
            <v>259720.27140000003</v>
          </cell>
        </row>
        <row r="37">
          <cell r="B37" t="str">
            <v>14-1499</v>
          </cell>
          <cell r="C37" t="str">
            <v>CARTERA BRUTA</v>
          </cell>
          <cell r="D37">
            <v>40939</v>
          </cell>
          <cell r="E37">
            <v>162641.12946999999</v>
          </cell>
          <cell r="F37">
            <v>162641.12946999999</v>
          </cell>
          <cell r="G37">
            <v>922195.33945000009</v>
          </cell>
          <cell r="H37">
            <v>971027.64483</v>
          </cell>
          <cell r="I37">
            <v>1025444.64931</v>
          </cell>
          <cell r="J37">
            <v>2918667.6335899998</v>
          </cell>
          <cell r="K37">
            <v>3081308.7630599998</v>
          </cell>
          <cell r="L37">
            <v>264971.08990000002</v>
          </cell>
        </row>
        <row r="38">
          <cell r="B38" t="str">
            <v>14-1499</v>
          </cell>
          <cell r="C38" t="str">
            <v>CARTERA BRUTA</v>
          </cell>
          <cell r="D38">
            <v>40968</v>
          </cell>
          <cell r="E38">
            <v>164769.85106000002</v>
          </cell>
          <cell r="F38">
            <v>164769.85106000002</v>
          </cell>
          <cell r="G38">
            <v>918632.14127000002</v>
          </cell>
          <cell r="H38">
            <v>947583.05627000006</v>
          </cell>
          <cell r="I38">
            <v>1043494.38165</v>
          </cell>
          <cell r="J38">
            <v>2909709.57919</v>
          </cell>
          <cell r="K38">
            <v>3074479.4302500002</v>
          </cell>
          <cell r="L38">
            <v>267555.17916</v>
          </cell>
        </row>
        <row r="39">
          <cell r="B39" t="str">
            <v>14-1499</v>
          </cell>
          <cell r="C39" t="str">
            <v>CARTERA BRUTA</v>
          </cell>
          <cell r="D39">
            <v>40999</v>
          </cell>
          <cell r="E39">
            <v>171730.83906999999</v>
          </cell>
          <cell r="F39">
            <v>171730.83906999999</v>
          </cell>
          <cell r="G39">
            <v>922997.22145999991</v>
          </cell>
          <cell r="H39">
            <v>932275.49209999992</v>
          </cell>
          <cell r="I39">
            <v>1065376.5533</v>
          </cell>
          <cell r="J39">
            <v>2920649.2668599999</v>
          </cell>
          <cell r="K39">
            <v>3092380.1059300001</v>
          </cell>
          <cell r="L39">
            <v>271589.10886000004</v>
          </cell>
        </row>
        <row r="40">
          <cell r="B40" t="str">
            <v>14-1499</v>
          </cell>
          <cell r="C40" t="str">
            <v>CARTERA BRUTA</v>
          </cell>
          <cell r="D40">
            <v>41029</v>
          </cell>
          <cell r="E40">
            <v>169662.39774000001</v>
          </cell>
          <cell r="F40">
            <v>169662.39774000001</v>
          </cell>
          <cell r="G40">
            <v>931726.48988000001</v>
          </cell>
          <cell r="H40">
            <v>919720.05290000001</v>
          </cell>
          <cell r="I40">
            <v>1076422.81648</v>
          </cell>
          <cell r="J40">
            <v>2927869.3592599998</v>
          </cell>
          <cell r="K40">
            <v>3097531.7569999998</v>
          </cell>
          <cell r="L40">
            <v>275210.51423999999</v>
          </cell>
        </row>
        <row r="41">
          <cell r="B41" t="str">
            <v>14-1499</v>
          </cell>
          <cell r="C41" t="str">
            <v>CARTERA BRUTA</v>
          </cell>
          <cell r="D41">
            <v>41060</v>
          </cell>
          <cell r="E41">
            <v>174561.08038</v>
          </cell>
          <cell r="F41">
            <v>174561.08038</v>
          </cell>
          <cell r="G41">
            <v>927376.65954999998</v>
          </cell>
          <cell r="H41">
            <v>906167.53621000005</v>
          </cell>
          <cell r="I41">
            <v>1091090.11571</v>
          </cell>
          <cell r="J41">
            <v>2924634.3114700001</v>
          </cell>
          <cell r="K41">
            <v>3099195.3918499998</v>
          </cell>
          <cell r="L41">
            <v>275893.80498999998</v>
          </cell>
        </row>
        <row r="42">
          <cell r="B42" t="str">
            <v>14-1499</v>
          </cell>
          <cell r="C42" t="str">
            <v>CARTERA BRUTA</v>
          </cell>
          <cell r="D42">
            <v>41090</v>
          </cell>
          <cell r="E42">
            <v>179949.76704999999</v>
          </cell>
          <cell r="F42">
            <v>179949.76704999999</v>
          </cell>
          <cell r="G42">
            <v>932451.28704999993</v>
          </cell>
          <cell r="H42">
            <v>903334.03720999998</v>
          </cell>
          <cell r="I42">
            <v>1108575.7419699999</v>
          </cell>
          <cell r="J42">
            <v>2944361.06623</v>
          </cell>
          <cell r="K42">
            <v>3124310.8332799999</v>
          </cell>
          <cell r="L42">
            <v>275397.20815000002</v>
          </cell>
        </row>
        <row r="43">
          <cell r="B43" t="str">
            <v>14-1499</v>
          </cell>
          <cell r="C43" t="str">
            <v>CARTERA BRUTA</v>
          </cell>
          <cell r="D43">
            <v>41121</v>
          </cell>
          <cell r="E43">
            <v>183040.02546999999</v>
          </cell>
          <cell r="F43">
            <v>183040.02546999999</v>
          </cell>
          <cell r="G43">
            <v>932374.50664000004</v>
          </cell>
          <cell r="H43">
            <v>904344.81334999995</v>
          </cell>
          <cell r="I43">
            <v>1123931.85837</v>
          </cell>
          <cell r="J43">
            <v>2960651.1783600003</v>
          </cell>
          <cell r="K43">
            <v>3143691.20383</v>
          </cell>
          <cell r="L43">
            <v>279350.62323999999</v>
          </cell>
        </row>
        <row r="44">
          <cell r="B44" t="str">
            <v>14-1499</v>
          </cell>
          <cell r="C44" t="str">
            <v>CARTERA BRUTA</v>
          </cell>
          <cell r="D44">
            <v>41152</v>
          </cell>
          <cell r="E44">
            <v>182550.37728000002</v>
          </cell>
          <cell r="F44">
            <v>182550.37728000002</v>
          </cell>
          <cell r="G44">
            <v>946756.20468000008</v>
          </cell>
          <cell r="H44">
            <v>912429.88396999997</v>
          </cell>
          <cell r="I44">
            <v>1159491.68475</v>
          </cell>
          <cell r="J44">
            <v>3018677.7734000003</v>
          </cell>
          <cell r="K44">
            <v>3201228.1506800004</v>
          </cell>
          <cell r="L44">
            <v>282938.31257999997</v>
          </cell>
        </row>
        <row r="49">
          <cell r="B49" t="str">
            <v>14-1499</v>
          </cell>
          <cell r="C49" t="str">
            <v>CARTERA BRUTA</v>
          </cell>
          <cell r="D49">
            <v>41182</v>
          </cell>
          <cell r="E49">
            <v>188397.69068999999</v>
          </cell>
          <cell r="F49">
            <v>188397.69068999999</v>
          </cell>
          <cell r="G49">
            <v>947796.17176000006</v>
          </cell>
          <cell r="H49">
            <v>924528.22846999997</v>
          </cell>
          <cell r="I49">
            <v>1195825.8039500001</v>
          </cell>
          <cell r="J49">
            <v>3068150.2041799999</v>
          </cell>
          <cell r="K49">
            <v>3256547.89487</v>
          </cell>
          <cell r="L49">
            <v>287959.18815</v>
          </cell>
        </row>
        <row r="50">
          <cell r="B50" t="str">
            <v>14-1499</v>
          </cell>
          <cell r="C50" t="str">
            <v>CARTERA BRUTA</v>
          </cell>
          <cell r="D50" t="str">
            <v>PROMEDIO</v>
          </cell>
          <cell r="E50">
            <v>173950.90457100002</v>
          </cell>
          <cell r="F50">
            <v>173950.90457100002</v>
          </cell>
          <cell r="G50">
            <v>930926.79983499995</v>
          </cell>
          <cell r="H50">
            <v>932060.90968900011</v>
          </cell>
          <cell r="I50">
            <v>1090589.9955269999</v>
          </cell>
          <cell r="J50">
            <v>2953577.7050510002</v>
          </cell>
          <cell r="K50">
            <v>3127528.6096220003</v>
          </cell>
          <cell r="L50">
            <v>274058.53006699996</v>
          </cell>
        </row>
        <row r="52">
          <cell r="B52" t="str">
            <v>2101+2105</v>
          </cell>
          <cell r="C52" t="str">
            <v>DEPOSITOS VISTA Y RESTRINGIDOS</v>
          </cell>
          <cell r="D52">
            <v>40908</v>
          </cell>
          <cell r="E52">
            <v>32863.94182</v>
          </cell>
          <cell r="F52">
            <v>32863.94182</v>
          </cell>
          <cell r="G52">
            <v>0</v>
          </cell>
          <cell r="H52">
            <v>593411.52488000004</v>
          </cell>
          <cell r="I52">
            <v>0</v>
          </cell>
          <cell r="J52">
            <v>593411.52488000004</v>
          </cell>
          <cell r="K52">
            <v>626275.46669999999</v>
          </cell>
          <cell r="L52">
            <v>0</v>
          </cell>
        </row>
        <row r="53">
          <cell r="B53" t="str">
            <v>2101+2105</v>
          </cell>
          <cell r="C53" t="str">
            <v>DEPOSITOS VISTA Y RESTRINGIDOS</v>
          </cell>
          <cell r="D53">
            <v>40939</v>
          </cell>
          <cell r="E53">
            <v>28888.34737</v>
          </cell>
          <cell r="F53">
            <v>28888.34737</v>
          </cell>
          <cell r="G53">
            <v>0</v>
          </cell>
          <cell r="H53">
            <v>584943.01437999995</v>
          </cell>
          <cell r="I53">
            <v>0</v>
          </cell>
          <cell r="J53">
            <v>584943.01437999995</v>
          </cell>
          <cell r="K53">
            <v>613831.36174999992</v>
          </cell>
          <cell r="L53">
            <v>0</v>
          </cell>
        </row>
        <row r="54">
          <cell r="B54" t="str">
            <v>2101+2105</v>
          </cell>
          <cell r="C54" t="str">
            <v>DEPOSITOS VISTA Y RESTRINGIDOS</v>
          </cell>
          <cell r="D54">
            <v>40968</v>
          </cell>
          <cell r="E54">
            <v>29088.736069999999</v>
          </cell>
          <cell r="F54">
            <v>29088.736069999999</v>
          </cell>
          <cell r="G54">
            <v>0</v>
          </cell>
          <cell r="H54">
            <v>586540.56246000004</v>
          </cell>
          <cell r="I54">
            <v>0</v>
          </cell>
          <cell r="J54">
            <v>586540.56246000004</v>
          </cell>
          <cell r="K54">
            <v>615629.29853000003</v>
          </cell>
          <cell r="L54">
            <v>0</v>
          </cell>
        </row>
        <row r="55">
          <cell r="B55" t="str">
            <v>2101+2105</v>
          </cell>
          <cell r="C55" t="str">
            <v>DEPOSITOS VISTA Y RESTRINGIDOS</v>
          </cell>
          <cell r="D55">
            <v>40999</v>
          </cell>
          <cell r="E55">
            <v>27962.80632</v>
          </cell>
          <cell r="F55">
            <v>27962.80632</v>
          </cell>
          <cell r="G55">
            <v>0</v>
          </cell>
          <cell r="H55">
            <v>618740.77411999996</v>
          </cell>
          <cell r="I55">
            <v>0</v>
          </cell>
          <cell r="J55">
            <v>618740.77411999996</v>
          </cell>
          <cell r="K55">
            <v>646703.58043999993</v>
          </cell>
          <cell r="L55">
            <v>0</v>
          </cell>
        </row>
        <row r="56">
          <cell r="B56" t="str">
            <v>2101+2105</v>
          </cell>
          <cell r="C56" t="str">
            <v>DEPOSITOS VISTA Y RESTRINGIDOS</v>
          </cell>
          <cell r="D56">
            <v>41029</v>
          </cell>
          <cell r="E56">
            <v>25139.213380000001</v>
          </cell>
          <cell r="F56">
            <v>25139.213380000001</v>
          </cell>
          <cell r="G56">
            <v>0</v>
          </cell>
          <cell r="H56">
            <v>619674.15980000002</v>
          </cell>
          <cell r="I56">
            <v>0</v>
          </cell>
          <cell r="J56">
            <v>619674.15980000002</v>
          </cell>
          <cell r="K56">
            <v>644813.37318</v>
          </cell>
          <cell r="L56">
            <v>0</v>
          </cell>
        </row>
        <row r="57">
          <cell r="B57" t="str">
            <v>2101+2105</v>
          </cell>
          <cell r="C57" t="str">
            <v>DEPOSITOS VISTA Y RESTRINGIDOS</v>
          </cell>
          <cell r="D57">
            <v>41060</v>
          </cell>
          <cell r="E57">
            <v>29349.363799999999</v>
          </cell>
          <cell r="F57">
            <v>29349.363799999999</v>
          </cell>
          <cell r="G57">
            <v>0</v>
          </cell>
          <cell r="H57">
            <v>644690.13968999998</v>
          </cell>
          <cell r="I57">
            <v>0</v>
          </cell>
          <cell r="J57">
            <v>644690.13968999998</v>
          </cell>
          <cell r="K57">
            <v>674039.50349000003</v>
          </cell>
          <cell r="L57">
            <v>0</v>
          </cell>
        </row>
        <row r="58">
          <cell r="B58" t="str">
            <v>2101+2105</v>
          </cell>
          <cell r="C58" t="str">
            <v>DEPOSITOS VISTA Y RESTRINGIDOS</v>
          </cell>
          <cell r="D58">
            <v>41090</v>
          </cell>
          <cell r="E58">
            <v>23809.595379999999</v>
          </cell>
          <cell r="F58">
            <v>23809.595379999999</v>
          </cell>
          <cell r="G58">
            <v>0</v>
          </cell>
          <cell r="H58">
            <v>647020.22389000002</v>
          </cell>
          <cell r="I58">
            <v>0</v>
          </cell>
          <cell r="J58">
            <v>647020.22389000002</v>
          </cell>
          <cell r="K58">
            <v>670829.81926999998</v>
          </cell>
          <cell r="L58">
            <v>0</v>
          </cell>
        </row>
        <row r="59">
          <cell r="B59" t="str">
            <v>2101+2105</v>
          </cell>
          <cell r="C59" t="str">
            <v>DEPOSITOS VISTA Y RESTRINGIDOS</v>
          </cell>
          <cell r="D59">
            <v>41121</v>
          </cell>
          <cell r="E59">
            <v>23829.233230000002</v>
          </cell>
          <cell r="F59">
            <v>23829.233230000002</v>
          </cell>
          <cell r="G59">
            <v>0</v>
          </cell>
          <cell r="H59">
            <v>631186.40093999996</v>
          </cell>
          <cell r="I59">
            <v>0</v>
          </cell>
          <cell r="J59">
            <v>631186.40093999996</v>
          </cell>
          <cell r="K59">
            <v>655015.63416999998</v>
          </cell>
          <cell r="L59">
            <v>0</v>
          </cell>
        </row>
        <row r="60">
          <cell r="B60" t="str">
            <v>2101+2105</v>
          </cell>
          <cell r="C60" t="str">
            <v>DEPOSITOS VISTA Y RESTRINGIDOS</v>
          </cell>
          <cell r="D60">
            <v>41152</v>
          </cell>
          <cell r="E60">
            <v>22287.28731</v>
          </cell>
          <cell r="F60">
            <v>22287.28731</v>
          </cell>
          <cell r="G60">
            <v>0</v>
          </cell>
          <cell r="H60">
            <v>655542.86435000005</v>
          </cell>
          <cell r="I60">
            <v>0</v>
          </cell>
          <cell r="J60">
            <v>655542.86435000005</v>
          </cell>
          <cell r="K60">
            <v>677830.15166000009</v>
          </cell>
          <cell r="L60">
            <v>0</v>
          </cell>
        </row>
        <row r="65">
          <cell r="B65" t="str">
            <v>2101+2105</v>
          </cell>
          <cell r="C65" t="str">
            <v>DEPOSITOS VISTA Y RESTRINGIDOS</v>
          </cell>
          <cell r="D65">
            <v>41182</v>
          </cell>
          <cell r="E65">
            <v>20782.49872</v>
          </cell>
          <cell r="F65">
            <v>20782.49872</v>
          </cell>
          <cell r="G65">
            <v>0</v>
          </cell>
          <cell r="H65">
            <v>692955.14200999995</v>
          </cell>
          <cell r="I65">
            <v>0</v>
          </cell>
          <cell r="J65">
            <v>692955.14200999995</v>
          </cell>
          <cell r="K65">
            <v>713737.64072999998</v>
          </cell>
          <cell r="L65">
            <v>0</v>
          </cell>
        </row>
        <row r="66">
          <cell r="B66" t="str">
            <v>2101+2105</v>
          </cell>
          <cell r="C66" t="str">
            <v>DEPOSITOS VISTA Y RESTRINGIDOS</v>
          </cell>
          <cell r="D66" t="str">
            <v>PROMEDIO</v>
          </cell>
          <cell r="E66">
            <v>26400.102339999994</v>
          </cell>
          <cell r="F66">
            <v>26400.102339999994</v>
          </cell>
          <cell r="G66">
            <v>0</v>
          </cell>
          <cell r="H66">
            <v>627470.48065200006</v>
          </cell>
          <cell r="I66">
            <v>0</v>
          </cell>
          <cell r="J66">
            <v>627470.48065200006</v>
          </cell>
          <cell r="K66">
            <v>653870.58299199992</v>
          </cell>
          <cell r="L66">
            <v>0</v>
          </cell>
        </row>
        <row r="68">
          <cell r="B68">
            <v>2103</v>
          </cell>
          <cell r="C68" t="str">
            <v>DEPOSITOS PLAZO</v>
          </cell>
          <cell r="D68">
            <v>40908</v>
          </cell>
          <cell r="E68">
            <v>125000</v>
          </cell>
          <cell r="F68">
            <v>125000</v>
          </cell>
          <cell r="G68">
            <v>324228.43517999997</v>
          </cell>
          <cell r="H68">
            <v>258406.28312000001</v>
          </cell>
          <cell r="I68">
            <v>908031.39963</v>
          </cell>
          <cell r="J68">
            <v>1490666.1179299999</v>
          </cell>
          <cell r="K68">
            <v>1615666.1179299999</v>
          </cell>
          <cell r="L68">
            <v>0</v>
          </cell>
        </row>
        <row r="69">
          <cell r="B69">
            <v>2103</v>
          </cell>
          <cell r="C69" t="str">
            <v>DEPOSITOS PLAZO</v>
          </cell>
          <cell r="D69">
            <v>40939</v>
          </cell>
          <cell r="E69">
            <v>125000</v>
          </cell>
          <cell r="F69">
            <v>125000</v>
          </cell>
          <cell r="G69">
            <v>330154.08697</v>
          </cell>
          <cell r="H69">
            <v>373926.95354999998</v>
          </cell>
          <cell r="I69">
            <v>888409.36568000005</v>
          </cell>
          <cell r="J69">
            <v>1592490.4062000001</v>
          </cell>
          <cell r="K69">
            <v>1717490.4062000001</v>
          </cell>
          <cell r="L69">
            <v>0</v>
          </cell>
        </row>
        <row r="70">
          <cell r="B70">
            <v>2103</v>
          </cell>
          <cell r="C70" t="str">
            <v>DEPOSITOS PLAZO</v>
          </cell>
          <cell r="D70">
            <v>40968</v>
          </cell>
          <cell r="E70">
            <v>121428.57141999999</v>
          </cell>
          <cell r="F70">
            <v>121428.57141999999</v>
          </cell>
          <cell r="G70">
            <v>327117.01202999998</v>
          </cell>
          <cell r="H70">
            <v>370378.79683000001</v>
          </cell>
          <cell r="I70">
            <v>876971.54104000004</v>
          </cell>
          <cell r="J70">
            <v>1574467.3498999998</v>
          </cell>
          <cell r="K70">
            <v>1695895.9213199997</v>
          </cell>
          <cell r="L70">
            <v>0</v>
          </cell>
        </row>
        <row r="71">
          <cell r="B71">
            <v>2103</v>
          </cell>
          <cell r="C71" t="str">
            <v>DEPOSITOS PLAZO</v>
          </cell>
          <cell r="D71">
            <v>40999</v>
          </cell>
          <cell r="E71">
            <v>121428.57141999999</v>
          </cell>
          <cell r="F71">
            <v>121428.57141999999</v>
          </cell>
          <cell r="G71">
            <v>445518.76165</v>
          </cell>
          <cell r="H71">
            <v>367199.41318999999</v>
          </cell>
          <cell r="I71">
            <v>1097279.5608399999</v>
          </cell>
          <cell r="J71">
            <v>1909997.7356799999</v>
          </cell>
          <cell r="K71">
            <v>2031426.3070999999</v>
          </cell>
          <cell r="L71">
            <v>0</v>
          </cell>
        </row>
        <row r="72">
          <cell r="B72">
            <v>2103</v>
          </cell>
          <cell r="C72" t="str">
            <v>DEPOSITOS PLAZO</v>
          </cell>
          <cell r="D72">
            <v>41029</v>
          </cell>
          <cell r="E72">
            <v>124999.99999</v>
          </cell>
          <cell r="F72">
            <v>124999.99999</v>
          </cell>
          <cell r="G72">
            <v>431873.09688999999</v>
          </cell>
          <cell r="H72">
            <v>274266.67470999999</v>
          </cell>
          <cell r="I72">
            <v>1123256.66555</v>
          </cell>
          <cell r="J72">
            <v>1829396.4371499999</v>
          </cell>
          <cell r="K72">
            <v>1954396.4371399998</v>
          </cell>
          <cell r="L72">
            <v>0</v>
          </cell>
        </row>
        <row r="73">
          <cell r="B73">
            <v>2103</v>
          </cell>
          <cell r="C73" t="str">
            <v>DEPOSITOS PLAZO</v>
          </cell>
          <cell r="D73">
            <v>41060</v>
          </cell>
          <cell r="E73">
            <v>112499.99999</v>
          </cell>
          <cell r="F73">
            <v>112499.99999</v>
          </cell>
          <cell r="G73">
            <v>439278.28454999998</v>
          </cell>
          <cell r="H73">
            <v>286953.96851999999</v>
          </cell>
          <cell r="I73">
            <v>1187205.2139099999</v>
          </cell>
          <cell r="J73">
            <v>1913437.46698</v>
          </cell>
          <cell r="K73">
            <v>2025937.46697</v>
          </cell>
          <cell r="L73">
            <v>0</v>
          </cell>
        </row>
        <row r="74">
          <cell r="B74">
            <v>2103</v>
          </cell>
          <cell r="C74" t="str">
            <v>DEPOSITOS PLAZO</v>
          </cell>
          <cell r="D74">
            <v>41090</v>
          </cell>
          <cell r="E74">
            <v>124999.99999</v>
          </cell>
          <cell r="F74">
            <v>124999.99999</v>
          </cell>
          <cell r="G74">
            <v>429492.31098000001</v>
          </cell>
          <cell r="H74">
            <v>269026.50186000002</v>
          </cell>
          <cell r="I74">
            <v>1158677.80923</v>
          </cell>
          <cell r="J74">
            <v>1857196.62207</v>
          </cell>
          <cell r="K74">
            <v>1982196.62206</v>
          </cell>
          <cell r="L74">
            <v>0</v>
          </cell>
        </row>
        <row r="75">
          <cell r="B75">
            <v>2103</v>
          </cell>
          <cell r="C75" t="str">
            <v>DEPOSITOS PLAZO</v>
          </cell>
          <cell r="D75">
            <v>41121</v>
          </cell>
          <cell r="E75">
            <v>124999.99999</v>
          </cell>
          <cell r="F75">
            <v>124999.99999</v>
          </cell>
          <cell r="G75">
            <v>432843.0907</v>
          </cell>
          <cell r="H75">
            <v>267927.90305000002</v>
          </cell>
          <cell r="I75">
            <v>1162104.2600700001</v>
          </cell>
          <cell r="J75">
            <v>1862875.2538200002</v>
          </cell>
          <cell r="K75">
            <v>1987875.2538100001</v>
          </cell>
          <cell r="L75">
            <v>0</v>
          </cell>
        </row>
        <row r="76">
          <cell r="B76">
            <v>2103</v>
          </cell>
          <cell r="C76" t="str">
            <v>DEPOSITOS PLAZO</v>
          </cell>
          <cell r="D76">
            <v>41152</v>
          </cell>
          <cell r="E76">
            <v>124999.99999</v>
          </cell>
          <cell r="F76">
            <v>124999.99999</v>
          </cell>
          <cell r="G76">
            <v>428189.42378999997</v>
          </cell>
          <cell r="H76">
            <v>279116.77289999998</v>
          </cell>
          <cell r="I76">
            <v>1231795.0434099999</v>
          </cell>
          <cell r="J76">
            <v>1939101.2400999998</v>
          </cell>
          <cell r="K76">
            <v>2064101.2400899997</v>
          </cell>
          <cell r="L76">
            <v>0</v>
          </cell>
        </row>
        <row r="81">
          <cell r="B81">
            <v>2103</v>
          </cell>
          <cell r="C81" t="str">
            <v>DEPOSITOS PLAZO</v>
          </cell>
          <cell r="D81">
            <v>41182</v>
          </cell>
          <cell r="E81">
            <v>112499.99999</v>
          </cell>
          <cell r="F81">
            <v>112499.99999</v>
          </cell>
          <cell r="G81">
            <v>427092.83601000003</v>
          </cell>
          <cell r="H81">
            <v>312474.36018999998</v>
          </cell>
          <cell r="I81">
            <v>1181384.28309</v>
          </cell>
          <cell r="J81">
            <v>1920951.4792900002</v>
          </cell>
          <cell r="K81">
            <v>2033451.4792800001</v>
          </cell>
          <cell r="L81">
            <v>0</v>
          </cell>
        </row>
        <row r="82">
          <cell r="B82">
            <v>2103</v>
          </cell>
          <cell r="C82" t="str">
            <v>DEPOSITOS PLAZO</v>
          </cell>
          <cell r="D82" t="str">
            <v>PROMEDIO</v>
          </cell>
          <cell r="E82">
            <v>121785.71427800001</v>
          </cell>
          <cell r="F82">
            <v>121785.71427800001</v>
          </cell>
          <cell r="G82">
            <v>401578.73387500003</v>
          </cell>
          <cell r="H82">
            <v>305967.76279200002</v>
          </cell>
          <cell r="I82">
            <v>1081511.5142450002</v>
          </cell>
          <cell r="J82">
            <v>1789058.010912</v>
          </cell>
          <cell r="K82">
            <v>1910843.7251899999</v>
          </cell>
          <cell r="L82">
            <v>0</v>
          </cell>
        </row>
        <row r="84">
          <cell r="B84" t="str">
            <v>31+33</v>
          </cell>
          <cell r="C84" t="str">
            <v>CAPITAL Y RESERVAS</v>
          </cell>
          <cell r="D84">
            <v>40908</v>
          </cell>
          <cell r="E84">
            <v>52202.893790000002</v>
          </cell>
          <cell r="F84">
            <v>52202.893790000002</v>
          </cell>
          <cell r="G84">
            <v>315255.11375999998</v>
          </cell>
          <cell r="H84">
            <v>254296.91870000001</v>
          </cell>
          <cell r="I84">
            <v>417733.71525999997</v>
          </cell>
          <cell r="J84">
            <v>987285.7477200001</v>
          </cell>
          <cell r="K84">
            <v>1039488.6415100001</v>
          </cell>
          <cell r="L84">
            <v>362.79309000000001</v>
          </cell>
        </row>
        <row r="85">
          <cell r="B85" t="str">
            <v>31+33</v>
          </cell>
          <cell r="C85" t="str">
            <v>CAPITAL Y RESERVAS</v>
          </cell>
          <cell r="D85">
            <v>40939</v>
          </cell>
          <cell r="E85">
            <v>52270.871790000005</v>
          </cell>
          <cell r="F85">
            <v>52270.871790000005</v>
          </cell>
          <cell r="G85">
            <v>319507.96233000001</v>
          </cell>
          <cell r="H85">
            <v>254296.91870000001</v>
          </cell>
          <cell r="I85">
            <v>417733.71525999997</v>
          </cell>
          <cell r="J85">
            <v>991538.59629000013</v>
          </cell>
          <cell r="K85">
            <v>1043809.46808</v>
          </cell>
          <cell r="L85">
            <v>362.79309000000001</v>
          </cell>
        </row>
        <row r="86">
          <cell r="B86" t="str">
            <v>31+33</v>
          </cell>
          <cell r="C86" t="str">
            <v>CAPITAL Y RESERVAS</v>
          </cell>
          <cell r="D86">
            <v>40968</v>
          </cell>
          <cell r="E86">
            <v>52270.871790000005</v>
          </cell>
          <cell r="F86">
            <v>52270.871790000005</v>
          </cell>
          <cell r="G86">
            <v>319507.96233000001</v>
          </cell>
          <cell r="H86">
            <v>254296.91870000001</v>
          </cell>
          <cell r="I86">
            <v>417733.71525999997</v>
          </cell>
          <cell r="J86">
            <v>991538.59629000013</v>
          </cell>
          <cell r="K86">
            <v>1043809.46808</v>
          </cell>
          <cell r="L86">
            <v>362.79309000000001</v>
          </cell>
        </row>
        <row r="87">
          <cell r="B87" t="str">
            <v>31+33</v>
          </cell>
          <cell r="C87" t="str">
            <v>CAPITAL Y RESERVAS</v>
          </cell>
          <cell r="D87">
            <v>40999</v>
          </cell>
          <cell r="E87">
            <v>52270.871790000005</v>
          </cell>
          <cell r="F87">
            <v>52270.871790000005</v>
          </cell>
          <cell r="G87">
            <v>319507.96233000001</v>
          </cell>
          <cell r="H87">
            <v>254296.91870000001</v>
          </cell>
          <cell r="I87">
            <v>417733.71525999997</v>
          </cell>
          <cell r="J87">
            <v>991538.59629000013</v>
          </cell>
          <cell r="K87">
            <v>1043809.46808</v>
          </cell>
          <cell r="L87">
            <v>362.79309000000001</v>
          </cell>
        </row>
        <row r="88">
          <cell r="B88" t="str">
            <v>31+33</v>
          </cell>
          <cell r="C88" t="str">
            <v>CAPITAL Y RESERVAS</v>
          </cell>
          <cell r="D88">
            <v>41029</v>
          </cell>
          <cell r="E88">
            <v>52270.871790000005</v>
          </cell>
          <cell r="F88">
            <v>52270.871790000005</v>
          </cell>
          <cell r="G88">
            <v>326760.81118000002</v>
          </cell>
          <cell r="H88">
            <v>254296.91870000001</v>
          </cell>
          <cell r="I88">
            <v>417733.71525999997</v>
          </cell>
          <cell r="J88">
            <v>998791.44514000008</v>
          </cell>
          <cell r="K88">
            <v>1051062.3169300002</v>
          </cell>
          <cell r="L88">
            <v>362.79309000000001</v>
          </cell>
        </row>
        <row r="89">
          <cell r="B89" t="str">
            <v>31+33</v>
          </cell>
          <cell r="C89" t="str">
            <v>CAPITAL Y RESERVAS</v>
          </cell>
          <cell r="D89">
            <v>41060</v>
          </cell>
          <cell r="E89">
            <v>52270.871790000005</v>
          </cell>
          <cell r="F89">
            <v>52270.871790000005</v>
          </cell>
          <cell r="G89">
            <v>326760.81118000002</v>
          </cell>
          <cell r="H89">
            <v>254296.91870000001</v>
          </cell>
          <cell r="I89">
            <v>448094.59188999998</v>
          </cell>
          <cell r="J89">
            <v>1029152.32177</v>
          </cell>
          <cell r="K89">
            <v>1081423.19356</v>
          </cell>
          <cell r="L89">
            <v>362.79309000000001</v>
          </cell>
        </row>
        <row r="90">
          <cell r="B90" t="str">
            <v>31+33</v>
          </cell>
          <cell r="C90" t="str">
            <v>CAPITAL Y RESERVAS</v>
          </cell>
          <cell r="D90">
            <v>41090</v>
          </cell>
          <cell r="E90">
            <v>52270.871790000005</v>
          </cell>
          <cell r="F90">
            <v>52270.871790000005</v>
          </cell>
          <cell r="G90">
            <v>326760.81118000002</v>
          </cell>
          <cell r="H90">
            <v>254296.91870000001</v>
          </cell>
          <cell r="I90">
            <v>448094.59188999998</v>
          </cell>
          <cell r="J90">
            <v>1029152.32177</v>
          </cell>
          <cell r="K90">
            <v>1081423.19356</v>
          </cell>
          <cell r="L90">
            <v>362.79309000000001</v>
          </cell>
        </row>
        <row r="91">
          <cell r="B91" t="str">
            <v>31+33</v>
          </cell>
          <cell r="C91" t="str">
            <v>CAPITAL Y RESERVAS</v>
          </cell>
          <cell r="D91">
            <v>41121</v>
          </cell>
          <cell r="E91">
            <v>52270.871790000005</v>
          </cell>
          <cell r="F91">
            <v>52270.871790000005</v>
          </cell>
          <cell r="G91">
            <v>326760.81118000002</v>
          </cell>
          <cell r="H91">
            <v>254296.91870000001</v>
          </cell>
          <cell r="I91">
            <v>448094.59188999998</v>
          </cell>
          <cell r="J91">
            <v>1029152.32177</v>
          </cell>
          <cell r="K91">
            <v>1081423.19356</v>
          </cell>
          <cell r="L91">
            <v>362.79309000000001</v>
          </cell>
        </row>
        <row r="92">
          <cell r="B92" t="str">
            <v>31+33</v>
          </cell>
          <cell r="C92" t="str">
            <v>CAPITAL Y RESERVAS</v>
          </cell>
          <cell r="D92">
            <v>41152</v>
          </cell>
          <cell r="E92">
            <v>52270.871790000005</v>
          </cell>
          <cell r="F92">
            <v>52270.871790000005</v>
          </cell>
          <cell r="G92">
            <v>370168.93418000004</v>
          </cell>
          <cell r="H92">
            <v>254296.91870000001</v>
          </cell>
          <cell r="I92">
            <v>448094.59188999998</v>
          </cell>
          <cell r="J92">
            <v>1072560.4447699999</v>
          </cell>
          <cell r="K92">
            <v>1124831.3165599999</v>
          </cell>
          <cell r="L92">
            <v>362.79309000000001</v>
          </cell>
        </row>
        <row r="97">
          <cell r="B97" t="str">
            <v>31+33</v>
          </cell>
          <cell r="C97" t="str">
            <v>CAPITAL Y RESERVAS</v>
          </cell>
          <cell r="D97">
            <v>41182</v>
          </cell>
          <cell r="E97">
            <v>52270.871790000005</v>
          </cell>
          <cell r="F97">
            <v>52270.871790000005</v>
          </cell>
          <cell r="G97">
            <v>370168.93418000004</v>
          </cell>
          <cell r="H97">
            <v>254296.91870000001</v>
          </cell>
          <cell r="I97">
            <v>448094.59188999998</v>
          </cell>
          <cell r="J97">
            <v>1072560.4447699999</v>
          </cell>
          <cell r="K97">
            <v>1124831.3165599999</v>
          </cell>
          <cell r="L97">
            <v>362.79309000000001</v>
          </cell>
        </row>
        <row r="98">
          <cell r="B98" t="str">
            <v>31+33</v>
          </cell>
          <cell r="C98" t="str">
            <v>CAPITAL Y RESERVAS</v>
          </cell>
          <cell r="D98" t="str">
            <v>PROMEDIO</v>
          </cell>
          <cell r="E98">
            <v>52264.073990000004</v>
          </cell>
          <cell r="F98">
            <v>52264.073990000004</v>
          </cell>
          <cell r="G98">
            <v>332116.011383</v>
          </cell>
          <cell r="H98">
            <v>254296.91869999998</v>
          </cell>
          <cell r="I98">
            <v>432914.15357499989</v>
          </cell>
          <cell r="J98">
            <v>1019327.0836580001</v>
          </cell>
          <cell r="K98">
            <v>1071591.1576480002</v>
          </cell>
          <cell r="L98">
            <v>362.79309000000006</v>
          </cell>
        </row>
        <row r="100">
          <cell r="B100" t="str">
            <v>5-4</v>
          </cell>
          <cell r="C100" t="str">
            <v>RESULTADOS</v>
          </cell>
          <cell r="D100">
            <v>40908</v>
          </cell>
          <cell r="E100">
            <v>226.5933299999997</v>
          </cell>
          <cell r="F100">
            <v>226.5933299999997</v>
          </cell>
          <cell r="G100">
            <v>42528.485690000009</v>
          </cell>
          <cell r="H100">
            <v>1696.3034399999888</v>
          </cell>
          <cell r="I100">
            <v>30360.876629999984</v>
          </cell>
          <cell r="J100">
            <v>74585.665760000004</v>
          </cell>
          <cell r="K100">
            <v>74812.259090000007</v>
          </cell>
          <cell r="L100">
            <v>2682.0660700000008</v>
          </cell>
        </row>
        <row r="101">
          <cell r="B101" t="str">
            <v>5-4</v>
          </cell>
          <cell r="C101" t="str">
            <v>RESULTADOS</v>
          </cell>
          <cell r="D101">
            <v>40939</v>
          </cell>
          <cell r="E101">
            <v>-3182.7522699999995</v>
          </cell>
          <cell r="F101">
            <v>-3182.7522699999995</v>
          </cell>
          <cell r="G101">
            <v>3822.6735799999997</v>
          </cell>
          <cell r="H101">
            <v>1420.7986399999991</v>
          </cell>
          <cell r="I101">
            <v>2941.3154799999993</v>
          </cell>
          <cell r="J101">
            <v>8184.7877000000008</v>
          </cell>
          <cell r="K101">
            <v>5002.0354300000035</v>
          </cell>
          <cell r="L101">
            <v>329.15665000000013</v>
          </cell>
        </row>
        <row r="102">
          <cell r="B102" t="str">
            <v>5-4</v>
          </cell>
          <cell r="C102" t="str">
            <v>RESULTADOS</v>
          </cell>
          <cell r="D102">
            <v>40968</v>
          </cell>
          <cell r="E102">
            <v>-2927.0399699999998</v>
          </cell>
          <cell r="F102">
            <v>-2927.0399699999998</v>
          </cell>
          <cell r="G102">
            <v>7644.6133799999998</v>
          </cell>
          <cell r="H102">
            <v>-1623.4509499999986</v>
          </cell>
          <cell r="I102">
            <v>17480.803600000003</v>
          </cell>
          <cell r="J102">
            <v>23501.966030000011</v>
          </cell>
          <cell r="K102">
            <v>20574.926060000013</v>
          </cell>
          <cell r="L102">
            <v>878.75406000000021</v>
          </cell>
        </row>
        <row r="103">
          <cell r="B103" t="str">
            <v>5-4</v>
          </cell>
          <cell r="C103" t="str">
            <v>RESULTADOS</v>
          </cell>
          <cell r="D103">
            <v>40999</v>
          </cell>
          <cell r="E103">
            <v>-4273.6250600000003</v>
          </cell>
          <cell r="F103">
            <v>-4273.6250600000003</v>
          </cell>
          <cell r="G103">
            <v>12050.477710000001</v>
          </cell>
          <cell r="H103">
            <v>-4138.4734200000021</v>
          </cell>
          <cell r="I103">
            <v>14872.350099999996</v>
          </cell>
          <cell r="J103">
            <v>22784.354389999979</v>
          </cell>
          <cell r="K103">
            <v>18510.729329999973</v>
          </cell>
          <cell r="L103">
            <v>219.20316000000003</v>
          </cell>
        </row>
        <row r="104">
          <cell r="B104" t="str">
            <v>5-4</v>
          </cell>
          <cell r="C104" t="str">
            <v>RESULTADOS</v>
          </cell>
          <cell r="D104">
            <v>41029</v>
          </cell>
          <cell r="E104">
            <v>-2691.6631099999995</v>
          </cell>
          <cell r="F104">
            <v>-2691.6631099999995</v>
          </cell>
          <cell r="G104">
            <v>15879.97169</v>
          </cell>
          <cell r="H104">
            <v>-4200.0578800000003</v>
          </cell>
          <cell r="I104">
            <v>23902.202019999997</v>
          </cell>
          <cell r="J104">
            <v>35582.115829999995</v>
          </cell>
          <cell r="K104">
            <v>32890.452719999987</v>
          </cell>
          <cell r="L104">
            <v>949.7807499999999</v>
          </cell>
        </row>
        <row r="105">
          <cell r="B105" t="str">
            <v>5-4</v>
          </cell>
          <cell r="C105" t="str">
            <v>RESULTADOS</v>
          </cell>
          <cell r="D105">
            <v>41060</v>
          </cell>
          <cell r="E105">
            <v>-4016.0846900000015</v>
          </cell>
          <cell r="F105">
            <v>-4016.0846900000015</v>
          </cell>
          <cell r="G105">
            <v>19431.70463</v>
          </cell>
          <cell r="H105">
            <v>-4423.3668099999995</v>
          </cell>
          <cell r="I105">
            <v>38212.425990000003</v>
          </cell>
          <cell r="J105">
            <v>53220.763809999989</v>
          </cell>
          <cell r="K105">
            <v>49204.679119999986</v>
          </cell>
          <cell r="L105">
            <v>1248.1918800000003</v>
          </cell>
        </row>
        <row r="106">
          <cell r="B106" t="str">
            <v>5-4</v>
          </cell>
          <cell r="C106" t="str">
            <v>RESULTADOS</v>
          </cell>
          <cell r="D106">
            <v>41090</v>
          </cell>
          <cell r="E106">
            <v>-3781.8124399999997</v>
          </cell>
          <cell r="F106">
            <v>-3781.8124399999997</v>
          </cell>
          <cell r="G106">
            <v>23796.569609999999</v>
          </cell>
          <cell r="H106">
            <v>-9937.026039999997</v>
          </cell>
          <cell r="I106">
            <v>45101.554539999997</v>
          </cell>
          <cell r="J106">
            <v>58961.098109999963</v>
          </cell>
          <cell r="K106">
            <v>55179.285669999983</v>
          </cell>
          <cell r="L106">
            <v>807.46845000000121</v>
          </cell>
        </row>
        <row r="107">
          <cell r="B107" t="str">
            <v>5-4</v>
          </cell>
          <cell r="C107" t="str">
            <v>RESULTADOS</v>
          </cell>
          <cell r="D107">
            <v>41121</v>
          </cell>
          <cell r="E107">
            <v>-3510.2297900000012</v>
          </cell>
          <cell r="F107">
            <v>-3510.2297900000012</v>
          </cell>
          <cell r="G107">
            <v>27849.061540000002</v>
          </cell>
          <cell r="H107">
            <v>-10816.44464999999</v>
          </cell>
          <cell r="I107">
            <v>53047.852660000004</v>
          </cell>
          <cell r="J107">
            <v>70080.469550000009</v>
          </cell>
          <cell r="K107">
            <v>66570.239760000026</v>
          </cell>
          <cell r="L107">
            <v>1577.7731899999999</v>
          </cell>
        </row>
        <row r="108">
          <cell r="B108" t="str">
            <v>5-4</v>
          </cell>
          <cell r="C108" t="str">
            <v>RESULTADOS</v>
          </cell>
          <cell r="D108">
            <v>41152</v>
          </cell>
          <cell r="E108">
            <v>-3427.6957299999995</v>
          </cell>
          <cell r="F108">
            <v>-3427.6957299999995</v>
          </cell>
          <cell r="G108">
            <v>31996.714300000003</v>
          </cell>
          <cell r="H108">
            <v>-10785.880900000004</v>
          </cell>
          <cell r="I108">
            <v>68102.309749999986</v>
          </cell>
          <cell r="J108">
            <v>89313.14314999996</v>
          </cell>
          <cell r="K108">
            <v>85885.447419999982</v>
          </cell>
          <cell r="L108">
            <v>2136.3918400000002</v>
          </cell>
        </row>
        <row r="113">
          <cell r="B113" t="str">
            <v>5-4</v>
          </cell>
          <cell r="C113" t="str">
            <v>RESULTADOS</v>
          </cell>
          <cell r="D113">
            <v>41182</v>
          </cell>
          <cell r="E113">
            <v>-5417.6589999999997</v>
          </cell>
          <cell r="F113">
            <v>-5417.6589999999997</v>
          </cell>
          <cell r="G113">
            <v>36275.517439999996</v>
          </cell>
          <cell r="H113">
            <v>-11016.225550000003</v>
          </cell>
          <cell r="I113">
            <v>67075.481349999987</v>
          </cell>
          <cell r="J113">
            <v>92334.773239999951</v>
          </cell>
          <cell r="K113">
            <v>86917.114239999966</v>
          </cell>
          <cell r="L113">
            <v>4469.0895900000014</v>
          </cell>
        </row>
        <row r="114">
          <cell r="B114" t="str">
            <v>5-4</v>
          </cell>
          <cell r="C114" t="str">
            <v>RESULTADOS</v>
          </cell>
          <cell r="D114" t="str">
            <v>acumulado</v>
          </cell>
          <cell r="E114">
            <v>-33228.562059999997</v>
          </cell>
          <cell r="F114">
            <v>-33228.562059999997</v>
          </cell>
          <cell r="G114">
            <v>178747.30387999999</v>
          </cell>
          <cell r="H114">
            <v>-55520.127559999994</v>
          </cell>
          <cell r="I114">
            <v>330736.29548999993</v>
          </cell>
          <cell r="J114">
            <v>453963.4718099999</v>
          </cell>
          <cell r="K114">
            <v>420734.90974999993</v>
          </cell>
          <cell r="L114">
            <v>12615.809570000003</v>
          </cell>
        </row>
        <row r="116">
          <cell r="B116" t="str">
            <v>13-1399</v>
          </cell>
          <cell r="C116" t="str">
            <v>INVERSIONES BRUTAS</v>
          </cell>
          <cell r="D116">
            <v>40908</v>
          </cell>
          <cell r="E116">
            <v>53034.055520000002</v>
          </cell>
          <cell r="F116">
            <v>53034.055520000002</v>
          </cell>
          <cell r="G116">
            <v>61220.859199999999</v>
          </cell>
          <cell r="H116">
            <v>103990.79803999999</v>
          </cell>
          <cell r="I116">
            <v>244966.96375</v>
          </cell>
          <cell r="J116">
            <v>410178.62099000002</v>
          </cell>
          <cell r="K116">
            <v>463212.67651000002</v>
          </cell>
          <cell r="L116">
            <v>12000</v>
          </cell>
        </row>
        <row r="117">
          <cell r="B117" t="str">
            <v>13-1399</v>
          </cell>
          <cell r="C117" t="str">
            <v>INVERSIONES BRUTAS</v>
          </cell>
          <cell r="D117">
            <v>40939</v>
          </cell>
          <cell r="E117">
            <v>49138.452720000001</v>
          </cell>
          <cell r="F117">
            <v>49138.452720000001</v>
          </cell>
          <cell r="G117">
            <v>61621.87833</v>
          </cell>
          <cell r="H117">
            <v>146152.24321000002</v>
          </cell>
          <cell r="I117">
            <v>232594.84403000001</v>
          </cell>
          <cell r="J117">
            <v>440368.96557</v>
          </cell>
          <cell r="K117">
            <v>489507.41829</v>
          </cell>
          <cell r="L117">
            <v>12000</v>
          </cell>
        </row>
        <row r="118">
          <cell r="B118" t="str">
            <v>13-1399</v>
          </cell>
          <cell r="C118" t="str">
            <v>INVERSIONES BRUTAS</v>
          </cell>
          <cell r="D118">
            <v>40968</v>
          </cell>
          <cell r="E118">
            <v>42568.128230000002</v>
          </cell>
          <cell r="F118">
            <v>42568.128230000002</v>
          </cell>
          <cell r="G118">
            <v>61758.617599999998</v>
          </cell>
          <cell r="H118">
            <v>155048.08452</v>
          </cell>
          <cell r="I118">
            <v>217853.25141</v>
          </cell>
          <cell r="J118">
            <v>434659.95353</v>
          </cell>
          <cell r="K118">
            <v>477228.08176000003</v>
          </cell>
          <cell r="L118">
            <v>12000</v>
          </cell>
        </row>
        <row r="119">
          <cell r="B119" t="str">
            <v>13-1399</v>
          </cell>
          <cell r="C119" t="str">
            <v>INVERSIONES BRUTAS</v>
          </cell>
          <cell r="D119">
            <v>40999</v>
          </cell>
          <cell r="E119">
            <v>41778.096280000005</v>
          </cell>
          <cell r="F119">
            <v>41778.096280000005</v>
          </cell>
          <cell r="G119">
            <v>181904.91552000001</v>
          </cell>
          <cell r="H119">
            <v>140802.81504000002</v>
          </cell>
          <cell r="I119">
            <v>410549.75791000004</v>
          </cell>
          <cell r="J119">
            <v>733257.4884700001</v>
          </cell>
          <cell r="K119">
            <v>775035.58475000004</v>
          </cell>
          <cell r="L119">
            <v>12000</v>
          </cell>
        </row>
        <row r="120">
          <cell r="B120" t="str">
            <v>13-1399</v>
          </cell>
          <cell r="C120" t="str">
            <v>INVERSIONES BRUTAS</v>
          </cell>
          <cell r="D120">
            <v>41029</v>
          </cell>
          <cell r="E120">
            <v>35595.528110000007</v>
          </cell>
          <cell r="F120">
            <v>35595.528110000007</v>
          </cell>
          <cell r="G120">
            <v>182047.89275</v>
          </cell>
          <cell r="H120">
            <v>142197.66077000002</v>
          </cell>
          <cell r="I120">
            <v>448345.18251000001</v>
          </cell>
          <cell r="J120">
            <v>772590.73603000003</v>
          </cell>
          <cell r="K120">
            <v>808186.26413999998</v>
          </cell>
          <cell r="L120">
            <v>12000</v>
          </cell>
        </row>
        <row r="121">
          <cell r="B121" t="str">
            <v>13-1399</v>
          </cell>
          <cell r="C121" t="str">
            <v>INVERSIONES BRUTAS</v>
          </cell>
          <cell r="D121">
            <v>41060</v>
          </cell>
          <cell r="E121">
            <v>35289.113590000001</v>
          </cell>
          <cell r="F121">
            <v>35289.113590000001</v>
          </cell>
          <cell r="G121">
            <v>179196.38803</v>
          </cell>
          <cell r="H121">
            <v>283689.18167000002</v>
          </cell>
          <cell r="I121">
            <v>481397.47956000001</v>
          </cell>
          <cell r="J121">
            <v>944283.04926</v>
          </cell>
          <cell r="K121">
            <v>979572.16285000008</v>
          </cell>
          <cell r="L121">
            <v>0</v>
          </cell>
        </row>
        <row r="122">
          <cell r="B122" t="str">
            <v>13-1399</v>
          </cell>
          <cell r="C122" t="str">
            <v>INVERSIONES BRUTAS</v>
          </cell>
          <cell r="D122">
            <v>41090</v>
          </cell>
          <cell r="E122">
            <v>35146.42194</v>
          </cell>
          <cell r="F122">
            <v>35146.42194</v>
          </cell>
          <cell r="G122">
            <v>179340.90989000001</v>
          </cell>
          <cell r="H122">
            <v>256973.70835</v>
          </cell>
          <cell r="I122">
            <v>470675.93229000003</v>
          </cell>
          <cell r="J122">
            <v>906990.55053000001</v>
          </cell>
          <cell r="K122">
            <v>942136.97247000015</v>
          </cell>
          <cell r="L122">
            <v>0</v>
          </cell>
        </row>
        <row r="123">
          <cell r="B123" t="str">
            <v>13-1399</v>
          </cell>
          <cell r="C123" t="str">
            <v>INVERSIONES BRUTAS</v>
          </cell>
          <cell r="D123">
            <v>41121</v>
          </cell>
          <cell r="E123">
            <v>26669.273970000002</v>
          </cell>
          <cell r="F123">
            <v>26669.273970000002</v>
          </cell>
          <cell r="G123">
            <v>179631.27014000001</v>
          </cell>
          <cell r="H123">
            <v>266217.7452</v>
          </cell>
          <cell r="I123">
            <v>451335.47805999999</v>
          </cell>
          <cell r="J123">
            <v>897184.49340000004</v>
          </cell>
          <cell r="K123">
            <v>923853.76737000002</v>
          </cell>
          <cell r="L123">
            <v>0</v>
          </cell>
        </row>
        <row r="124">
          <cell r="B124" t="str">
            <v>13-1399</v>
          </cell>
          <cell r="C124" t="str">
            <v>INVERSIONES BRUTAS</v>
          </cell>
          <cell r="D124">
            <v>41152</v>
          </cell>
          <cell r="E124">
            <v>26308.501950000002</v>
          </cell>
          <cell r="F124">
            <v>26308.501950000002</v>
          </cell>
          <cell r="G124">
            <v>179752.60798</v>
          </cell>
          <cell r="H124">
            <v>274836.40065999998</v>
          </cell>
          <cell r="I124">
            <v>474735.50771999999</v>
          </cell>
          <cell r="J124">
            <v>929324.51635999989</v>
          </cell>
          <cell r="K124">
            <v>955633.01830999984</v>
          </cell>
          <cell r="L124">
            <v>0</v>
          </cell>
        </row>
        <row r="129">
          <cell r="B129" t="str">
            <v>13-1399</v>
          </cell>
          <cell r="C129" t="str">
            <v>INVERSIONES BRUTAS</v>
          </cell>
          <cell r="D129">
            <v>41182</v>
          </cell>
          <cell r="E129">
            <v>25238.65782</v>
          </cell>
          <cell r="F129">
            <v>25238.65782</v>
          </cell>
          <cell r="G129">
            <v>179922.13545</v>
          </cell>
          <cell r="H129">
            <v>290519.6249</v>
          </cell>
          <cell r="I129">
            <v>436943.98874999996</v>
          </cell>
          <cell r="J129">
            <v>907385.74910000002</v>
          </cell>
          <cell r="K129">
            <v>932624.4069200001</v>
          </cell>
          <cell r="L129">
            <v>0</v>
          </cell>
        </row>
        <row r="130">
          <cell r="B130" t="str">
            <v>13-1399</v>
          </cell>
          <cell r="C130" t="str">
            <v>INVERSIONES BRUTAS</v>
          </cell>
          <cell r="D130" t="str">
            <v>PROMEDIO</v>
          </cell>
          <cell r="E130">
            <v>37076.623013000004</v>
          </cell>
          <cell r="F130">
            <v>37076.623013000004</v>
          </cell>
          <cell r="G130">
            <v>144639.747489</v>
          </cell>
          <cell r="H130">
            <v>206042.82623599999</v>
          </cell>
          <cell r="I130">
            <v>386939.83859900001</v>
          </cell>
          <cell r="J130">
            <v>737622.41232399992</v>
          </cell>
          <cell r="K130">
            <v>774699.03533699992</v>
          </cell>
          <cell r="L130">
            <v>6000</v>
          </cell>
        </row>
        <row r="132">
          <cell r="B132">
            <v>3</v>
          </cell>
          <cell r="C132" t="str">
            <v>PATRIMONIO</v>
          </cell>
          <cell r="D132">
            <v>40908</v>
          </cell>
          <cell r="E132">
            <v>82136.841390000001</v>
          </cell>
          <cell r="F132">
            <v>82136.841390000001</v>
          </cell>
          <cell r="G132">
            <v>411354.14198000001</v>
          </cell>
          <cell r="H132">
            <v>412998.36916</v>
          </cell>
          <cell r="I132">
            <v>480427.04629000003</v>
          </cell>
          <cell r="J132">
            <v>1304779.55743</v>
          </cell>
          <cell r="K132">
            <v>1386916.39882</v>
          </cell>
          <cell r="L132">
            <v>306756.22115</v>
          </cell>
        </row>
        <row r="133">
          <cell r="B133">
            <v>3</v>
          </cell>
          <cell r="C133" t="str">
            <v>PATRIMONIO</v>
          </cell>
          <cell r="D133">
            <v>40939</v>
          </cell>
          <cell r="E133">
            <v>82165.439580000006</v>
          </cell>
          <cell r="F133">
            <v>82165.439580000006</v>
          </cell>
          <cell r="G133">
            <v>415359.78645000001</v>
          </cell>
          <cell r="H133">
            <v>412998.36916</v>
          </cell>
          <cell r="I133">
            <v>815438.68160000001</v>
          </cell>
          <cell r="J133">
            <v>1643796.83721</v>
          </cell>
          <cell r="K133">
            <v>1725962.27679</v>
          </cell>
          <cell r="L133">
            <v>314494.05245999998</v>
          </cell>
        </row>
        <row r="134">
          <cell r="B134">
            <v>3</v>
          </cell>
          <cell r="C134" t="str">
            <v>PATRIMONIO</v>
          </cell>
          <cell r="D134">
            <v>40968</v>
          </cell>
          <cell r="E134">
            <v>82031.047930000001</v>
          </cell>
          <cell r="F134">
            <v>82031.047930000001</v>
          </cell>
          <cell r="G134">
            <v>418712.71071999997</v>
          </cell>
          <cell r="H134">
            <v>413060.79895999999</v>
          </cell>
          <cell r="I134">
            <v>817208.52012</v>
          </cell>
          <cell r="J134">
            <v>1648982.0298000001</v>
          </cell>
          <cell r="K134">
            <v>1731013.07773</v>
          </cell>
          <cell r="L134">
            <v>322426.83104000002</v>
          </cell>
        </row>
        <row r="135">
          <cell r="B135">
            <v>3</v>
          </cell>
          <cell r="C135" t="str">
            <v>PATRIMONIO</v>
          </cell>
          <cell r="D135">
            <v>40999</v>
          </cell>
          <cell r="E135">
            <v>82153.477599999998</v>
          </cell>
          <cell r="F135">
            <v>82153.477599999998</v>
          </cell>
          <cell r="G135">
            <v>422065.28193</v>
          </cell>
          <cell r="H135">
            <v>413195.07172000001</v>
          </cell>
          <cell r="I135">
            <v>817353.68548999995</v>
          </cell>
          <cell r="J135">
            <v>1652614.03914</v>
          </cell>
          <cell r="K135">
            <v>1734767.5167400001</v>
          </cell>
          <cell r="L135">
            <v>328427.53081000003</v>
          </cell>
        </row>
        <row r="136">
          <cell r="B136">
            <v>3</v>
          </cell>
          <cell r="C136" t="str">
            <v>PATRIMONIO</v>
          </cell>
          <cell r="D136">
            <v>41029</v>
          </cell>
          <cell r="E136">
            <v>82164.715249999994</v>
          </cell>
          <cell r="F136">
            <v>82164.715249999994</v>
          </cell>
          <cell r="G136">
            <v>394651.46996000002</v>
          </cell>
          <cell r="H136">
            <v>413261.79556</v>
          </cell>
          <cell r="I136">
            <v>817648.34785999998</v>
          </cell>
          <cell r="J136">
            <v>1625561.61338</v>
          </cell>
          <cell r="K136">
            <v>1707726.3286299999</v>
          </cell>
          <cell r="L136">
            <v>331927.53081000003</v>
          </cell>
        </row>
        <row r="137">
          <cell r="B137">
            <v>3</v>
          </cell>
          <cell r="C137" t="str">
            <v>PATRIMONIO</v>
          </cell>
          <cell r="D137">
            <v>41060</v>
          </cell>
          <cell r="E137">
            <v>82165.475699999995</v>
          </cell>
          <cell r="F137">
            <v>82165.475699999995</v>
          </cell>
          <cell r="G137">
            <v>398066.76818999997</v>
          </cell>
          <cell r="H137">
            <v>413352.82526999997</v>
          </cell>
          <cell r="I137">
            <v>817933.78619000001</v>
          </cell>
          <cell r="J137">
            <v>1629353.37965</v>
          </cell>
          <cell r="K137">
            <v>1711518.8553500001</v>
          </cell>
          <cell r="L137">
            <v>335417.86238000001</v>
          </cell>
        </row>
        <row r="138">
          <cell r="B138">
            <v>3</v>
          </cell>
          <cell r="C138" t="str">
            <v>PATRIMONIO</v>
          </cell>
          <cell r="D138">
            <v>41090</v>
          </cell>
          <cell r="E138">
            <v>82161.180129999993</v>
          </cell>
          <cell r="F138">
            <v>82161.180129999993</v>
          </cell>
          <cell r="G138">
            <v>401636.20487999998</v>
          </cell>
          <cell r="H138">
            <v>414123.61099000002</v>
          </cell>
          <cell r="I138">
            <v>818014.15104999999</v>
          </cell>
          <cell r="J138">
            <v>1633773.96692</v>
          </cell>
          <cell r="K138">
            <v>1715935.14705</v>
          </cell>
          <cell r="L138">
            <v>346513.92411999998</v>
          </cell>
        </row>
        <row r="139">
          <cell r="B139">
            <v>3</v>
          </cell>
          <cell r="C139" t="str">
            <v>PATRIMONIO</v>
          </cell>
          <cell r="D139">
            <v>41121</v>
          </cell>
          <cell r="E139">
            <v>82192.116940000007</v>
          </cell>
          <cell r="F139">
            <v>82192.116940000007</v>
          </cell>
          <cell r="G139">
            <v>405079.79535999999</v>
          </cell>
          <cell r="H139">
            <v>414253.68472000002</v>
          </cell>
          <cell r="I139">
            <v>818338.22071000002</v>
          </cell>
          <cell r="J139">
            <v>1637671.7007900001</v>
          </cell>
          <cell r="K139">
            <v>1719863.8177300002</v>
          </cell>
          <cell r="L139">
            <v>352886.25036000001</v>
          </cell>
        </row>
        <row r="140">
          <cell r="B140">
            <v>3</v>
          </cell>
          <cell r="C140" t="str">
            <v>PATRIMONIO</v>
          </cell>
          <cell r="D140">
            <v>41152</v>
          </cell>
          <cell r="E140">
            <v>82172.463300000003</v>
          </cell>
          <cell r="F140">
            <v>82172.463300000003</v>
          </cell>
          <cell r="G140">
            <v>408486.71789999999</v>
          </cell>
          <cell r="H140">
            <v>414164.48434000002</v>
          </cell>
          <cell r="I140">
            <v>819706.44449999998</v>
          </cell>
          <cell r="J140">
            <v>1642357.64674</v>
          </cell>
          <cell r="K140">
            <v>1724530.1100399999</v>
          </cell>
          <cell r="L140">
            <v>362139.52811999997</v>
          </cell>
        </row>
        <row r="145">
          <cell r="B145">
            <v>3</v>
          </cell>
          <cell r="C145" t="str">
            <v>PATRIMONIO</v>
          </cell>
          <cell r="D145">
            <v>41182</v>
          </cell>
          <cell r="E145">
            <v>82054.717470000003</v>
          </cell>
          <cell r="F145">
            <v>82054.717470000003</v>
          </cell>
          <cell r="G145">
            <v>411672.34602</v>
          </cell>
          <cell r="H145">
            <v>414246.40025000001</v>
          </cell>
          <cell r="I145">
            <v>819897.06710999995</v>
          </cell>
          <cell r="J145">
            <v>1645815.8133799999</v>
          </cell>
          <cell r="K145">
            <v>1727870.53085</v>
          </cell>
          <cell r="L145">
            <v>363639.52811999997</v>
          </cell>
        </row>
        <row r="146">
          <cell r="B146">
            <v>3</v>
          </cell>
          <cell r="C146" t="str">
            <v>PATRIMONIO</v>
          </cell>
          <cell r="D146" t="str">
            <v>PROMEDIO</v>
          </cell>
          <cell r="E146">
            <v>82139.747529</v>
          </cell>
          <cell r="F146">
            <v>82139.747529</v>
          </cell>
          <cell r="G146">
            <v>408708.52233900002</v>
          </cell>
          <cell r="H146">
            <v>413565.54101299995</v>
          </cell>
          <cell r="I146">
            <v>784196.59509200021</v>
          </cell>
          <cell r="J146">
            <v>1606470.6584439999</v>
          </cell>
          <cell r="K146">
            <v>1688610.405973</v>
          </cell>
          <cell r="L146">
            <v>336462.92593699996</v>
          </cell>
        </row>
        <row r="148">
          <cell r="B148" t="str">
            <v>1401 + 1405</v>
          </cell>
          <cell r="C148" t="str">
            <v>CART. COM. x VENC.</v>
          </cell>
          <cell r="D148">
            <v>40908</v>
          </cell>
          <cell r="E148">
            <v>136297.66076</v>
          </cell>
          <cell r="F148">
            <v>136297.66076</v>
          </cell>
          <cell r="G148">
            <v>926961.97661000001</v>
          </cell>
          <cell r="H148">
            <v>605182.34005</v>
          </cell>
          <cell r="I148">
            <v>879135.66969999997</v>
          </cell>
          <cell r="J148">
            <v>2411279.98636</v>
          </cell>
          <cell r="K148">
            <v>2547577.6471199999</v>
          </cell>
          <cell r="L148">
            <v>0</v>
          </cell>
        </row>
        <row r="149">
          <cell r="B149" t="str">
            <v>1401 + 1405</v>
          </cell>
          <cell r="C149" t="str">
            <v>CART. COM. x VENC.</v>
          </cell>
          <cell r="D149">
            <v>40939</v>
          </cell>
          <cell r="E149">
            <v>136244.96267000001</v>
          </cell>
          <cell r="F149">
            <v>136244.96267000001</v>
          </cell>
          <cell r="G149">
            <v>922195.33944999997</v>
          </cell>
          <cell r="H149">
            <v>580752.70151000004</v>
          </cell>
          <cell r="I149">
            <v>890922.01728999999</v>
          </cell>
          <cell r="J149">
            <v>2393870.0582499998</v>
          </cell>
          <cell r="K149">
            <v>2530115.0209199996</v>
          </cell>
          <cell r="L149">
            <v>0</v>
          </cell>
        </row>
        <row r="150">
          <cell r="B150" t="str">
            <v>1401 + 1405</v>
          </cell>
          <cell r="C150" t="str">
            <v>CART. COM. x VENC.</v>
          </cell>
          <cell r="D150">
            <v>40968</v>
          </cell>
          <cell r="E150">
            <v>137964.32074</v>
          </cell>
          <cell r="F150">
            <v>137964.32074</v>
          </cell>
          <cell r="G150">
            <v>918632.14127000002</v>
          </cell>
          <cell r="H150">
            <v>561023.84129999997</v>
          </cell>
          <cell r="I150">
            <v>908756.62907999998</v>
          </cell>
          <cell r="J150">
            <v>2388412.6116499999</v>
          </cell>
          <cell r="K150">
            <v>2526376.9323899997</v>
          </cell>
          <cell r="L150">
            <v>0</v>
          </cell>
        </row>
        <row r="151">
          <cell r="B151" t="str">
            <v>1401 + 1405</v>
          </cell>
          <cell r="C151" t="str">
            <v>CART. COM. x VENC.</v>
          </cell>
          <cell r="D151">
            <v>40999</v>
          </cell>
          <cell r="E151">
            <v>143473.42931000001</v>
          </cell>
          <cell r="F151">
            <v>143473.42931000001</v>
          </cell>
          <cell r="G151">
            <v>922997.22146000003</v>
          </cell>
          <cell r="H151">
            <v>546904.21976000001</v>
          </cell>
          <cell r="I151">
            <v>934118.64431999996</v>
          </cell>
          <cell r="J151">
            <v>2404020.0855399999</v>
          </cell>
          <cell r="K151">
            <v>2547493.5148499999</v>
          </cell>
          <cell r="L151">
            <v>0</v>
          </cell>
        </row>
        <row r="152">
          <cell r="B152" t="str">
            <v>1401 + 1405</v>
          </cell>
          <cell r="C152" t="str">
            <v>CART. COM. x VENC.</v>
          </cell>
          <cell r="D152">
            <v>41029</v>
          </cell>
          <cell r="E152">
            <v>137699.45576000001</v>
          </cell>
          <cell r="F152">
            <v>137699.45576000001</v>
          </cell>
          <cell r="G152">
            <v>931726.48988000001</v>
          </cell>
          <cell r="H152">
            <v>533330.59591000003</v>
          </cell>
          <cell r="I152">
            <v>940530.05637999997</v>
          </cell>
          <cell r="J152">
            <v>2405587.1421699999</v>
          </cell>
          <cell r="K152">
            <v>2543286.5979299997</v>
          </cell>
          <cell r="L152">
            <v>0</v>
          </cell>
        </row>
        <row r="153">
          <cell r="B153" t="str">
            <v>1401 + 1405</v>
          </cell>
          <cell r="C153" t="str">
            <v>CART. COM. x VENC.</v>
          </cell>
          <cell r="D153">
            <v>41060</v>
          </cell>
          <cell r="E153">
            <v>143905.07229000001</v>
          </cell>
          <cell r="F153">
            <v>143905.07229000001</v>
          </cell>
          <cell r="G153">
            <v>927376.65954999998</v>
          </cell>
          <cell r="H153">
            <v>519877.00193999999</v>
          </cell>
          <cell r="I153">
            <v>961318.03102999995</v>
          </cell>
          <cell r="J153">
            <v>2408571.69252</v>
          </cell>
          <cell r="K153">
            <v>2552476.7648100001</v>
          </cell>
          <cell r="L153">
            <v>0</v>
          </cell>
        </row>
        <row r="154">
          <cell r="B154" t="str">
            <v>1401 + 1405</v>
          </cell>
          <cell r="C154" t="str">
            <v>CART. COM. x VENC.</v>
          </cell>
          <cell r="D154">
            <v>41090</v>
          </cell>
          <cell r="E154">
            <v>147606.31351000001</v>
          </cell>
          <cell r="F154">
            <v>147606.31351000001</v>
          </cell>
          <cell r="G154">
            <v>932451.28705000004</v>
          </cell>
          <cell r="H154">
            <v>511028.57063999999</v>
          </cell>
          <cell r="I154">
            <v>987820.89735999994</v>
          </cell>
          <cell r="J154">
            <v>2431300.7550499998</v>
          </cell>
          <cell r="K154">
            <v>2578907.0685599996</v>
          </cell>
          <cell r="L154">
            <v>0</v>
          </cell>
        </row>
        <row r="155">
          <cell r="B155" t="str">
            <v>1401 + 1405</v>
          </cell>
          <cell r="C155" t="str">
            <v>CART. COM. x VENC.</v>
          </cell>
          <cell r="D155">
            <v>41121</v>
          </cell>
          <cell r="E155">
            <v>145448.21207000001</v>
          </cell>
          <cell r="F155">
            <v>145448.21207000001</v>
          </cell>
          <cell r="G155">
            <v>932374.50664000004</v>
          </cell>
          <cell r="H155">
            <v>501773.64049000002</v>
          </cell>
          <cell r="I155">
            <v>1003018.49304</v>
          </cell>
          <cell r="J155">
            <v>2437166.64017</v>
          </cell>
          <cell r="K155">
            <v>2582614.8522399999</v>
          </cell>
          <cell r="L155">
            <v>0</v>
          </cell>
        </row>
        <row r="156">
          <cell r="B156" t="str">
            <v>1401 + 1409+1417</v>
          </cell>
          <cell r="C156" t="str">
            <v>CART. COM. x VENC.</v>
          </cell>
          <cell r="D156">
            <v>41152</v>
          </cell>
          <cell r="E156">
            <v>147933.08476</v>
          </cell>
          <cell r="F156">
            <v>147933.08476</v>
          </cell>
          <cell r="G156">
            <v>0</v>
          </cell>
          <cell r="H156">
            <v>508855.14431</v>
          </cell>
          <cell r="I156">
            <v>1054317.0381199999</v>
          </cell>
          <cell r="J156">
            <v>1563172.18243</v>
          </cell>
          <cell r="K156">
            <v>1711105.2671900003</v>
          </cell>
          <cell r="L156">
            <v>0</v>
          </cell>
        </row>
        <row r="161">
          <cell r="B161" t="str">
            <v>1401 + 1409+1417</v>
          </cell>
          <cell r="C161" t="str">
            <v>CART. COM. x VENC.</v>
          </cell>
          <cell r="D161">
            <v>41182</v>
          </cell>
          <cell r="E161">
            <v>149279.93072999999</v>
          </cell>
          <cell r="F161">
            <v>149279.93072999999</v>
          </cell>
          <cell r="G161">
            <v>0</v>
          </cell>
          <cell r="H161">
            <v>498342.79978</v>
          </cell>
          <cell r="I161">
            <v>1094930.13634</v>
          </cell>
          <cell r="J161">
            <v>1593272.9361200002</v>
          </cell>
          <cell r="K161">
            <v>1742552.8668500003</v>
          </cell>
          <cell r="L161">
            <v>0</v>
          </cell>
        </row>
        <row r="162">
          <cell r="B162" t="str">
            <v>1402 + 1409+1417</v>
          </cell>
          <cell r="C162" t="str">
            <v>CART. COM. x VENC.</v>
          </cell>
          <cell r="D162" t="str">
            <v>PROMEDIO</v>
          </cell>
          <cell r="E162">
            <v>142585.24426000001</v>
          </cell>
          <cell r="F162">
            <v>142585.24426000001</v>
          </cell>
          <cell r="G162">
            <v>741471.56219100009</v>
          </cell>
          <cell r="H162">
            <v>536707.0855690001</v>
          </cell>
          <cell r="I162">
            <v>965486.76126599999</v>
          </cell>
          <cell r="J162">
            <v>2243665.4090259997</v>
          </cell>
          <cell r="K162">
            <v>2386250.6532859998</v>
          </cell>
          <cell r="L162">
            <v>0</v>
          </cell>
        </row>
        <row r="164">
          <cell r="B164" t="str">
            <v>1402 + 1406</v>
          </cell>
          <cell r="C164" t="str">
            <v>CART. CON. x VENC.</v>
          </cell>
          <cell r="D164">
            <v>40908</v>
          </cell>
          <cell r="E164">
            <v>0</v>
          </cell>
          <cell r="F164">
            <v>0</v>
          </cell>
          <cell r="G164">
            <v>0</v>
          </cell>
          <cell r="H164">
            <v>44825.769919999999</v>
          </cell>
          <cell r="I164">
            <v>0</v>
          </cell>
          <cell r="J164">
            <v>44825.769919999999</v>
          </cell>
          <cell r="K164">
            <v>44825.769919999999</v>
          </cell>
          <cell r="L164">
            <v>234716.55067</v>
          </cell>
        </row>
        <row r="165">
          <cell r="B165" t="str">
            <v>1402 + 1406</v>
          </cell>
          <cell r="C165" t="str">
            <v>CART. CON. x VENC.</v>
          </cell>
          <cell r="D165">
            <v>40939</v>
          </cell>
          <cell r="E165">
            <v>0</v>
          </cell>
          <cell r="F165">
            <v>0</v>
          </cell>
          <cell r="G165">
            <v>0</v>
          </cell>
          <cell r="H165">
            <v>41946.879659999999</v>
          </cell>
          <cell r="I165">
            <v>0</v>
          </cell>
          <cell r="J165">
            <v>41946.879659999999</v>
          </cell>
          <cell r="K165">
            <v>41946.879659999999</v>
          </cell>
          <cell r="L165">
            <v>238576.78367999999</v>
          </cell>
        </row>
        <row r="166">
          <cell r="B166" t="str">
            <v>1402 + 1406</v>
          </cell>
          <cell r="C166" t="str">
            <v>CART. CON. x VENC.</v>
          </cell>
          <cell r="D166">
            <v>40968</v>
          </cell>
          <cell r="E166">
            <v>0</v>
          </cell>
          <cell r="F166">
            <v>0</v>
          </cell>
          <cell r="G166">
            <v>0</v>
          </cell>
          <cell r="H166">
            <v>39772.172960000004</v>
          </cell>
          <cell r="I166">
            <v>0</v>
          </cell>
          <cell r="J166">
            <v>39772.172960000004</v>
          </cell>
          <cell r="K166">
            <v>39772.172960000004</v>
          </cell>
          <cell r="L166">
            <v>239457.20861</v>
          </cell>
        </row>
        <row r="167">
          <cell r="B167" t="str">
            <v>1402 + 1406</v>
          </cell>
          <cell r="C167" t="str">
            <v>CART. CON. x VENC.</v>
          </cell>
          <cell r="D167">
            <v>40999</v>
          </cell>
          <cell r="E167">
            <v>0</v>
          </cell>
          <cell r="F167">
            <v>0</v>
          </cell>
          <cell r="G167">
            <v>0</v>
          </cell>
          <cell r="H167">
            <v>37957.497009999999</v>
          </cell>
          <cell r="I167">
            <v>0</v>
          </cell>
          <cell r="J167">
            <v>37957.497009999999</v>
          </cell>
          <cell r="K167">
            <v>37957.497009999999</v>
          </cell>
          <cell r="L167">
            <v>242808.48499</v>
          </cell>
        </row>
        <row r="168">
          <cell r="B168" t="str">
            <v>1402 + 1406</v>
          </cell>
          <cell r="C168" t="str">
            <v>CART. CON. x VENC.</v>
          </cell>
          <cell r="D168">
            <v>41029</v>
          </cell>
          <cell r="E168">
            <v>0</v>
          </cell>
          <cell r="F168">
            <v>0</v>
          </cell>
          <cell r="G168">
            <v>0</v>
          </cell>
          <cell r="H168">
            <v>36672.061750000001</v>
          </cell>
          <cell r="I168">
            <v>0</v>
          </cell>
          <cell r="J168">
            <v>36672.061750000001</v>
          </cell>
          <cell r="K168">
            <v>36672.061750000001</v>
          </cell>
          <cell r="L168">
            <v>246969.46165000001</v>
          </cell>
        </row>
        <row r="169">
          <cell r="B169" t="str">
            <v>1402 + 1406</v>
          </cell>
          <cell r="C169" t="str">
            <v>CART. CON. x VENC.</v>
          </cell>
          <cell r="D169">
            <v>41060</v>
          </cell>
          <cell r="E169">
            <v>0</v>
          </cell>
          <cell r="F169">
            <v>0</v>
          </cell>
          <cell r="G169">
            <v>0</v>
          </cell>
          <cell r="H169">
            <v>34701.38248</v>
          </cell>
          <cell r="I169">
            <v>0</v>
          </cell>
          <cell r="J169">
            <v>34701.38248</v>
          </cell>
          <cell r="K169">
            <v>34701.38248</v>
          </cell>
          <cell r="L169">
            <v>247252.69104000001</v>
          </cell>
        </row>
        <row r="170">
          <cell r="B170" t="str">
            <v>1402 + 1406</v>
          </cell>
          <cell r="C170" t="str">
            <v>CART. CON. x VENC.</v>
          </cell>
          <cell r="D170">
            <v>41090</v>
          </cell>
          <cell r="E170">
            <v>0</v>
          </cell>
          <cell r="F170">
            <v>0</v>
          </cell>
          <cell r="G170">
            <v>0</v>
          </cell>
          <cell r="H170">
            <v>32865.771359999999</v>
          </cell>
          <cell r="I170">
            <v>0</v>
          </cell>
          <cell r="J170">
            <v>32865.771359999999</v>
          </cell>
          <cell r="K170">
            <v>32865.771359999999</v>
          </cell>
          <cell r="L170">
            <v>245982.15677</v>
          </cell>
        </row>
        <row r="171">
          <cell r="B171" t="str">
            <v>1402 + 1406</v>
          </cell>
          <cell r="C171" t="str">
            <v>CART. CON. x VENC.</v>
          </cell>
          <cell r="D171">
            <v>41121</v>
          </cell>
          <cell r="E171">
            <v>0</v>
          </cell>
          <cell r="F171">
            <v>0</v>
          </cell>
          <cell r="G171">
            <v>0</v>
          </cell>
          <cell r="H171">
            <v>30240.894520000002</v>
          </cell>
          <cell r="I171">
            <v>0</v>
          </cell>
          <cell r="J171">
            <v>30240.894520000002</v>
          </cell>
          <cell r="K171">
            <v>30240.894520000002</v>
          </cell>
          <cell r="L171">
            <v>250583.00004000001</v>
          </cell>
        </row>
        <row r="172">
          <cell r="B172" t="str">
            <v>1402 + 1410+1418</v>
          </cell>
          <cell r="C172" t="str">
            <v>CART. CON. x VENC.</v>
          </cell>
          <cell r="D172">
            <v>41152</v>
          </cell>
          <cell r="E172">
            <v>0</v>
          </cell>
          <cell r="F172">
            <v>0</v>
          </cell>
          <cell r="G172">
            <v>0</v>
          </cell>
          <cell r="H172">
            <v>28742.801829999997</v>
          </cell>
          <cell r="I172">
            <v>0</v>
          </cell>
          <cell r="J172">
            <v>28742.801829999997</v>
          </cell>
          <cell r="K172">
            <v>28742.801829999997</v>
          </cell>
          <cell r="L172">
            <v>0</v>
          </cell>
        </row>
        <row r="177">
          <cell r="B177" t="str">
            <v>1402 + 1410+1418</v>
          </cell>
          <cell r="C177" t="str">
            <v>CART. CON. x VENC.</v>
          </cell>
          <cell r="D177">
            <v>41182</v>
          </cell>
          <cell r="E177">
            <v>0</v>
          </cell>
          <cell r="F177">
            <v>0</v>
          </cell>
          <cell r="G177">
            <v>0</v>
          </cell>
          <cell r="H177">
            <v>26919.3475</v>
          </cell>
          <cell r="I177">
            <v>0</v>
          </cell>
          <cell r="J177">
            <v>26919.3475</v>
          </cell>
          <cell r="K177">
            <v>26919.3475</v>
          </cell>
          <cell r="L177">
            <v>0</v>
          </cell>
        </row>
        <row r="178">
          <cell r="B178" t="str">
            <v>1402 + 1410+1418</v>
          </cell>
          <cell r="C178" t="str">
            <v>CART. CON. x VENC.</v>
          </cell>
          <cell r="D178" t="str">
            <v>PROMEDIO</v>
          </cell>
          <cell r="E178">
            <v>0</v>
          </cell>
          <cell r="F178">
            <v>0</v>
          </cell>
          <cell r="G178">
            <v>0</v>
          </cell>
          <cell r="H178">
            <v>35464.457899000001</v>
          </cell>
          <cell r="I178">
            <v>0</v>
          </cell>
          <cell r="J178">
            <v>35464.457899000001</v>
          </cell>
          <cell r="K178">
            <v>35464.457899000001</v>
          </cell>
          <cell r="L178">
            <v>194634.633745</v>
          </cell>
        </row>
        <row r="180">
          <cell r="B180" t="str">
            <v>1403 + 1407</v>
          </cell>
          <cell r="C180" t="str">
            <v>CART. VIV. x VENC.</v>
          </cell>
          <cell r="D180">
            <v>40908</v>
          </cell>
          <cell r="E180">
            <v>14729.73323</v>
          </cell>
          <cell r="F180">
            <v>14729.73323</v>
          </cell>
          <cell r="G180">
            <v>0</v>
          </cell>
          <cell r="H180">
            <v>0</v>
          </cell>
          <cell r="I180">
            <v>412.55383999999998</v>
          </cell>
          <cell r="J180">
            <v>412.55383999999998</v>
          </cell>
          <cell r="K180">
            <v>15142.28707</v>
          </cell>
          <cell r="L180">
            <v>0</v>
          </cell>
        </row>
        <row r="181">
          <cell r="B181" t="str">
            <v>1403 + 1407</v>
          </cell>
          <cell r="C181" t="str">
            <v>CART. VIV. x VENC.</v>
          </cell>
          <cell r="D181">
            <v>40939</v>
          </cell>
          <cell r="E181">
            <v>14374.50892</v>
          </cell>
          <cell r="F181">
            <v>14374.50892</v>
          </cell>
          <cell r="G181">
            <v>0</v>
          </cell>
          <cell r="H181">
            <v>0</v>
          </cell>
          <cell r="I181">
            <v>405.49475000000001</v>
          </cell>
          <cell r="J181">
            <v>405.49475000000001</v>
          </cell>
          <cell r="K181">
            <v>14780.00367</v>
          </cell>
          <cell r="L181">
            <v>0</v>
          </cell>
        </row>
        <row r="182">
          <cell r="B182" t="str">
            <v>1403 + 1407</v>
          </cell>
          <cell r="C182" t="str">
            <v>CART. VIV. x VENC.</v>
          </cell>
          <cell r="D182">
            <v>40968</v>
          </cell>
          <cell r="E182">
            <v>14047.99677</v>
          </cell>
          <cell r="F182">
            <v>14047.99677</v>
          </cell>
          <cell r="G182">
            <v>0</v>
          </cell>
          <cell r="H182">
            <v>0</v>
          </cell>
          <cell r="I182">
            <v>374.51481999999999</v>
          </cell>
          <cell r="J182">
            <v>374.51481999999999</v>
          </cell>
          <cell r="K182">
            <v>14422.51159</v>
          </cell>
          <cell r="L182">
            <v>0</v>
          </cell>
        </row>
        <row r="183">
          <cell r="B183" t="str">
            <v>1403 + 1407</v>
          </cell>
          <cell r="C183" t="str">
            <v>CART. VIV. x VENC.</v>
          </cell>
          <cell r="D183">
            <v>40999</v>
          </cell>
          <cell r="E183">
            <v>13756.88731</v>
          </cell>
          <cell r="F183">
            <v>13756.88731</v>
          </cell>
          <cell r="G183">
            <v>0</v>
          </cell>
          <cell r="H183">
            <v>0</v>
          </cell>
          <cell r="I183">
            <v>367.54259000000002</v>
          </cell>
          <cell r="J183">
            <v>367.54259000000002</v>
          </cell>
          <cell r="K183">
            <v>14124.429899999999</v>
          </cell>
          <cell r="L183">
            <v>0</v>
          </cell>
        </row>
        <row r="184">
          <cell r="B184" t="str">
            <v>1403 + 1407</v>
          </cell>
          <cell r="C184" t="str">
            <v>CART. VIV. x VENC.</v>
          </cell>
          <cell r="D184">
            <v>41029</v>
          </cell>
          <cell r="E184">
            <v>13414.564399999999</v>
          </cell>
          <cell r="F184">
            <v>13414.564399999999</v>
          </cell>
          <cell r="G184">
            <v>0</v>
          </cell>
          <cell r="H184">
            <v>0</v>
          </cell>
          <cell r="I184">
            <v>364.29584</v>
          </cell>
          <cell r="J184">
            <v>364.29584</v>
          </cell>
          <cell r="K184">
            <v>13778.86024</v>
          </cell>
          <cell r="L184">
            <v>0</v>
          </cell>
        </row>
        <row r="185">
          <cell r="B185" t="str">
            <v>1403 + 1407</v>
          </cell>
          <cell r="C185" t="str">
            <v>CART. VIV. x VENC.</v>
          </cell>
          <cell r="D185">
            <v>41060</v>
          </cell>
          <cell r="E185">
            <v>12893.35068</v>
          </cell>
          <cell r="F185">
            <v>12893.35068</v>
          </cell>
          <cell r="G185">
            <v>0</v>
          </cell>
          <cell r="H185">
            <v>0</v>
          </cell>
          <cell r="I185">
            <v>340.30297000000002</v>
          </cell>
          <cell r="J185">
            <v>340.30297000000002</v>
          </cell>
          <cell r="K185">
            <v>13233.65365</v>
          </cell>
          <cell r="L185">
            <v>0</v>
          </cell>
        </row>
        <row r="186">
          <cell r="B186" t="str">
            <v>1403 + 1407</v>
          </cell>
          <cell r="C186" t="str">
            <v>CART. VIV. x VENC.</v>
          </cell>
          <cell r="D186">
            <v>41090</v>
          </cell>
          <cell r="E186">
            <v>12482.102290000001</v>
          </cell>
          <cell r="F186">
            <v>12482.102290000001</v>
          </cell>
          <cell r="G186">
            <v>0</v>
          </cell>
          <cell r="H186">
            <v>0</v>
          </cell>
          <cell r="I186">
            <v>366.24990000000003</v>
          </cell>
          <cell r="J186">
            <v>366.24990000000003</v>
          </cell>
          <cell r="K186">
            <v>12848.352190000001</v>
          </cell>
          <cell r="L186">
            <v>0</v>
          </cell>
        </row>
        <row r="187">
          <cell r="B187" t="str">
            <v>1403 + 1407</v>
          </cell>
          <cell r="C187" t="str">
            <v>CART. VIV. x VENC.</v>
          </cell>
          <cell r="D187">
            <v>41121</v>
          </cell>
          <cell r="E187">
            <v>12279.055060000001</v>
          </cell>
          <cell r="F187">
            <v>12279.055060000001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12279.055060000001</v>
          </cell>
          <cell r="L187">
            <v>0</v>
          </cell>
        </row>
        <row r="188">
          <cell r="B188" t="str">
            <v>1403+1411+1419</v>
          </cell>
          <cell r="C188" t="str">
            <v>CART. VIV. x VENC.</v>
          </cell>
          <cell r="D188">
            <v>41152</v>
          </cell>
          <cell r="E188">
            <v>16125.098549999999</v>
          </cell>
          <cell r="F188">
            <v>16125.098549999999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16125.098549999999</v>
          </cell>
          <cell r="L188">
            <v>0</v>
          </cell>
        </row>
        <row r="193">
          <cell r="B193" t="str">
            <v>1403+1411+1419</v>
          </cell>
          <cell r="C193" t="str">
            <v>CART. VIV. x VENC.</v>
          </cell>
          <cell r="D193">
            <v>41182</v>
          </cell>
          <cell r="E193">
            <v>15773.61846</v>
          </cell>
          <cell r="F193">
            <v>15773.61846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15773.61846</v>
          </cell>
          <cell r="L193">
            <v>0</v>
          </cell>
        </row>
        <row r="194">
          <cell r="B194" t="str">
            <v>1403+1411+1419</v>
          </cell>
          <cell r="C194" t="str">
            <v>CART. VIV. x VENC.</v>
          </cell>
          <cell r="D194" t="str">
            <v>PROMEDIO</v>
          </cell>
          <cell r="E194">
            <v>13987.691566999998</v>
          </cell>
          <cell r="F194">
            <v>13987.691566999998</v>
          </cell>
          <cell r="G194">
            <v>0</v>
          </cell>
          <cell r="H194">
            <v>0</v>
          </cell>
          <cell r="I194">
            <v>263.09547099999997</v>
          </cell>
          <cell r="J194">
            <v>263.09547099999997</v>
          </cell>
          <cell r="K194">
            <v>14250.787038</v>
          </cell>
          <cell r="L194">
            <v>0</v>
          </cell>
        </row>
        <row r="196">
          <cell r="B196" t="str">
            <v>1404 + 1408</v>
          </cell>
          <cell r="C196" t="str">
            <v>CART. MIC. x VENC.</v>
          </cell>
          <cell r="D196">
            <v>40908</v>
          </cell>
          <cell r="E196">
            <v>0</v>
          </cell>
          <cell r="F196">
            <v>0</v>
          </cell>
          <cell r="G196">
            <v>0</v>
          </cell>
          <cell r="H196">
            <v>193993.01723</v>
          </cell>
          <cell r="I196">
            <v>33421.696510000002</v>
          </cell>
          <cell r="J196">
            <v>227414.71374000001</v>
          </cell>
          <cell r="K196">
            <v>227414.71374000001</v>
          </cell>
          <cell r="L196">
            <v>0</v>
          </cell>
        </row>
        <row r="197">
          <cell r="B197" t="str">
            <v>1404 + 1408</v>
          </cell>
          <cell r="C197" t="str">
            <v>CART. MIC. x VENC.</v>
          </cell>
          <cell r="D197">
            <v>40939</v>
          </cell>
          <cell r="E197">
            <v>0</v>
          </cell>
          <cell r="F197">
            <v>0</v>
          </cell>
          <cell r="G197">
            <v>0</v>
          </cell>
          <cell r="H197">
            <v>184785.21442</v>
          </cell>
          <cell r="I197">
            <v>32413.94183</v>
          </cell>
          <cell r="J197">
            <v>217199.15625</v>
          </cell>
          <cell r="K197">
            <v>217199.15625</v>
          </cell>
          <cell r="L197">
            <v>0</v>
          </cell>
        </row>
        <row r="198">
          <cell r="B198" t="str">
            <v>1404 + 1408</v>
          </cell>
          <cell r="C198" t="str">
            <v>CART. MIC. x VENC.</v>
          </cell>
          <cell r="D198">
            <v>40968</v>
          </cell>
          <cell r="E198">
            <v>0</v>
          </cell>
          <cell r="F198">
            <v>0</v>
          </cell>
          <cell r="G198">
            <v>0</v>
          </cell>
          <cell r="H198">
            <v>178423.54921999999</v>
          </cell>
          <cell r="I198">
            <v>31770.55817</v>
          </cell>
          <cell r="J198">
            <v>210194.10738999999</v>
          </cell>
          <cell r="K198">
            <v>210194.10738999999</v>
          </cell>
          <cell r="L198">
            <v>0</v>
          </cell>
        </row>
        <row r="199">
          <cell r="B199" t="str">
            <v>1404 + 1408</v>
          </cell>
          <cell r="C199" t="str">
            <v>CART. MIC. x VENC.</v>
          </cell>
          <cell r="D199">
            <v>40999</v>
          </cell>
          <cell r="E199">
            <v>0</v>
          </cell>
          <cell r="F199">
            <v>0</v>
          </cell>
          <cell r="G199">
            <v>0</v>
          </cell>
          <cell r="H199">
            <v>181000.54316</v>
          </cell>
          <cell r="I199">
            <v>31030.32202</v>
          </cell>
          <cell r="J199">
            <v>212030.86517999999</v>
          </cell>
          <cell r="K199">
            <v>212030.86517999999</v>
          </cell>
          <cell r="L199">
            <v>0</v>
          </cell>
        </row>
        <row r="200">
          <cell r="B200" t="str">
            <v>1404 + 1408</v>
          </cell>
          <cell r="C200" t="str">
            <v>CART. MIC. x VENC.</v>
          </cell>
          <cell r="D200">
            <v>41029</v>
          </cell>
          <cell r="E200">
            <v>0</v>
          </cell>
          <cell r="F200">
            <v>0</v>
          </cell>
          <cell r="G200">
            <v>0</v>
          </cell>
          <cell r="H200">
            <v>184974.24904</v>
          </cell>
          <cell r="I200">
            <v>30333.82876</v>
          </cell>
          <cell r="J200">
            <v>215308.0778</v>
          </cell>
          <cell r="K200">
            <v>215308.0778</v>
          </cell>
          <cell r="L200">
            <v>0</v>
          </cell>
        </row>
        <row r="201">
          <cell r="B201" t="str">
            <v>1404 + 1408</v>
          </cell>
          <cell r="C201" t="str">
            <v>CART. MIC. x VENC.</v>
          </cell>
          <cell r="D201">
            <v>41060</v>
          </cell>
          <cell r="E201">
            <v>0</v>
          </cell>
          <cell r="F201">
            <v>0</v>
          </cell>
          <cell r="G201">
            <v>0</v>
          </cell>
          <cell r="H201">
            <v>189856.76483</v>
          </cell>
          <cell r="I201">
            <v>29869.766810000001</v>
          </cell>
          <cell r="J201">
            <v>219726.53164</v>
          </cell>
          <cell r="K201">
            <v>219726.53164</v>
          </cell>
          <cell r="L201">
            <v>0</v>
          </cell>
        </row>
        <row r="202">
          <cell r="B202" t="str">
            <v>1404 + 1408</v>
          </cell>
          <cell r="C202" t="str">
            <v>CART. MIC. x VENC.</v>
          </cell>
          <cell r="D202">
            <v>41090</v>
          </cell>
          <cell r="E202">
            <v>0</v>
          </cell>
          <cell r="F202">
            <v>0</v>
          </cell>
          <cell r="G202">
            <v>0</v>
          </cell>
          <cell r="H202">
            <v>199824.32568000001</v>
          </cell>
          <cell r="I202">
            <v>28500.672729999998</v>
          </cell>
          <cell r="J202">
            <v>228324.99841</v>
          </cell>
          <cell r="K202">
            <v>228324.99841</v>
          </cell>
          <cell r="L202">
            <v>0</v>
          </cell>
        </row>
        <row r="203">
          <cell r="B203" t="str">
            <v>1404 + 1408</v>
          </cell>
          <cell r="C203" t="str">
            <v>CART. MIC. x VENC.</v>
          </cell>
          <cell r="D203">
            <v>41121</v>
          </cell>
          <cell r="E203">
            <v>0</v>
          </cell>
          <cell r="F203">
            <v>0</v>
          </cell>
          <cell r="G203">
            <v>0</v>
          </cell>
          <cell r="H203">
            <v>212261.40069000001</v>
          </cell>
          <cell r="I203">
            <v>27442.571690000001</v>
          </cell>
          <cell r="J203">
            <v>239703.97238000002</v>
          </cell>
          <cell r="K203">
            <v>239703.97238000002</v>
          </cell>
          <cell r="L203">
            <v>0</v>
          </cell>
        </row>
        <row r="204">
          <cell r="B204" t="str">
            <v>1404 + 1412+1420</v>
          </cell>
          <cell r="C204" t="str">
            <v>CART. MIC. x VENC.</v>
          </cell>
          <cell r="D204">
            <v>41152</v>
          </cell>
          <cell r="E204">
            <v>0</v>
          </cell>
          <cell r="F204">
            <v>0</v>
          </cell>
          <cell r="G204">
            <v>0</v>
          </cell>
          <cell r="H204">
            <v>231032.00044</v>
          </cell>
          <cell r="I204">
            <v>28025.964090000001</v>
          </cell>
          <cell r="J204">
            <v>259057.96453</v>
          </cell>
          <cell r="K204">
            <v>259057.96453</v>
          </cell>
          <cell r="L204">
            <v>0</v>
          </cell>
        </row>
        <row r="209">
          <cell r="B209" t="str">
            <v>1404 + 1412+1420</v>
          </cell>
          <cell r="C209" t="str">
            <v>CART. MIC. x VENC.</v>
          </cell>
          <cell r="D209">
            <v>41182</v>
          </cell>
          <cell r="E209">
            <v>0</v>
          </cell>
          <cell r="F209">
            <v>0</v>
          </cell>
          <cell r="G209">
            <v>0</v>
          </cell>
          <cell r="H209">
            <v>250805.46072</v>
          </cell>
          <cell r="I209">
            <v>26730.865440000001</v>
          </cell>
          <cell r="J209">
            <v>277536.32616</v>
          </cell>
          <cell r="K209">
            <v>277536.32616</v>
          </cell>
          <cell r="L209">
            <v>0</v>
          </cell>
        </row>
        <row r="210">
          <cell r="B210" t="str">
            <v>1404+1412+1420</v>
          </cell>
          <cell r="C210" t="str">
            <v>CART. MIC. x VENC.</v>
          </cell>
          <cell r="D210" t="str">
            <v>PROMEDIO</v>
          </cell>
          <cell r="E210">
            <v>0</v>
          </cell>
          <cell r="F210">
            <v>0</v>
          </cell>
          <cell r="G210">
            <v>0</v>
          </cell>
          <cell r="H210">
            <v>200695.652543</v>
          </cell>
          <cell r="I210">
            <v>29954.018805000007</v>
          </cell>
          <cell r="J210">
            <v>230649.671348</v>
          </cell>
          <cell r="K210">
            <v>230649.671348</v>
          </cell>
          <cell r="L210">
            <v>0</v>
          </cell>
        </row>
        <row r="212">
          <cell r="B212" t="str">
            <v>1405+1413+1421</v>
          </cell>
          <cell r="C212" t="str">
            <v>CART. EDUC. x VENC.</v>
          </cell>
          <cell r="D212">
            <v>40908</v>
          </cell>
        </row>
        <row r="213">
          <cell r="B213" t="str">
            <v>1405+1413+1422</v>
          </cell>
          <cell r="C213" t="str">
            <v>CART. EDUC. x VENC.</v>
          </cell>
          <cell r="D213">
            <v>40939</v>
          </cell>
        </row>
        <row r="214">
          <cell r="B214" t="str">
            <v>1405+1413+1423</v>
          </cell>
          <cell r="C214" t="str">
            <v>CART. EDUC. x VENC.</v>
          </cell>
          <cell r="D214">
            <v>40968</v>
          </cell>
        </row>
        <row r="215">
          <cell r="B215" t="str">
            <v>1405+1413+1424</v>
          </cell>
          <cell r="C215" t="str">
            <v>CART. EDUC. x VENC.</v>
          </cell>
          <cell r="D215">
            <v>40999</v>
          </cell>
        </row>
        <row r="216">
          <cell r="B216" t="str">
            <v>1405+1413+1425</v>
          </cell>
          <cell r="C216" t="str">
            <v>CART. EDUC. x VENC.</v>
          </cell>
          <cell r="D216">
            <v>41029</v>
          </cell>
        </row>
        <row r="217">
          <cell r="B217" t="str">
            <v>1405+1413+1426</v>
          </cell>
          <cell r="C217" t="str">
            <v>CART. EDUC. x VENC.</v>
          </cell>
          <cell r="D217">
            <v>41060</v>
          </cell>
        </row>
        <row r="218">
          <cell r="B218" t="str">
            <v>1405+1413+1427</v>
          </cell>
          <cell r="C218" t="str">
            <v>CART. EDUC. x VENC.</v>
          </cell>
          <cell r="D218">
            <v>41090</v>
          </cell>
        </row>
        <row r="219">
          <cell r="B219" t="str">
            <v>1405+1413+1428</v>
          </cell>
          <cell r="C219" t="str">
            <v>CART. EDUC. x VENC.</v>
          </cell>
          <cell r="D219">
            <v>41121</v>
          </cell>
        </row>
        <row r="220">
          <cell r="B220" t="str">
            <v>1405+1413+1421</v>
          </cell>
          <cell r="C220" t="str">
            <v>CART. EDUC. x VENC.</v>
          </cell>
          <cell r="D220">
            <v>41152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254572.75235</v>
          </cell>
        </row>
        <row r="225">
          <cell r="B225" t="str">
            <v>1405+1413+1421</v>
          </cell>
          <cell r="C225" t="str">
            <v>CART. EDUC. x VENC.</v>
          </cell>
          <cell r="D225">
            <v>41182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257687.12669</v>
          </cell>
        </row>
        <row r="226">
          <cell r="B226" t="str">
            <v>1405+1413+1421</v>
          </cell>
          <cell r="C226" t="str">
            <v>CART. EDUC. x VENC.</v>
          </cell>
          <cell r="D226" t="str">
            <v>PROMEDIO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256129.93952000001</v>
          </cell>
        </row>
        <row r="228">
          <cell r="B228" t="str">
            <v>1406+1414+1483</v>
          </cell>
          <cell r="C228" t="str">
            <v>CART. INVER. PUB. X  VENC.</v>
          </cell>
          <cell r="D228">
            <v>40908</v>
          </cell>
        </row>
        <row r="229">
          <cell r="B229" t="str">
            <v>1406+1414+1484</v>
          </cell>
          <cell r="C229" t="str">
            <v>CART. INVER. PUB. X  VENC.</v>
          </cell>
          <cell r="D229">
            <v>40939</v>
          </cell>
        </row>
        <row r="230">
          <cell r="B230" t="str">
            <v>1406+1414+1485</v>
          </cell>
          <cell r="C230" t="str">
            <v>CART. INVER. PUB. X  VENC.</v>
          </cell>
          <cell r="D230">
            <v>40968</v>
          </cell>
        </row>
        <row r="231">
          <cell r="B231" t="str">
            <v>1406+1414+1486</v>
          </cell>
          <cell r="C231" t="str">
            <v>CART. INVER. PUB. X  VENC.</v>
          </cell>
          <cell r="D231">
            <v>40999</v>
          </cell>
        </row>
        <row r="232">
          <cell r="B232" t="str">
            <v>1406+1414+1487</v>
          </cell>
          <cell r="C232" t="str">
            <v>CART. INVER. PUB. X  VENC.</v>
          </cell>
          <cell r="D232">
            <v>41029</v>
          </cell>
        </row>
        <row r="233">
          <cell r="B233" t="str">
            <v>1406+1414+1488</v>
          </cell>
          <cell r="C233" t="str">
            <v>CART. INVER. PUB. X  VENC.</v>
          </cell>
          <cell r="D233">
            <v>41060</v>
          </cell>
        </row>
        <row r="234">
          <cell r="B234" t="str">
            <v>1406+1414+1489</v>
          </cell>
          <cell r="C234" t="str">
            <v>CART. INVER. PUB. X  VENC.</v>
          </cell>
          <cell r="D234">
            <v>41090</v>
          </cell>
        </row>
        <row r="235">
          <cell r="B235" t="str">
            <v>1406+1414+1490</v>
          </cell>
          <cell r="C235" t="str">
            <v>CART. INVER. PUB. X  VENC.</v>
          </cell>
          <cell r="D235">
            <v>41121</v>
          </cell>
        </row>
        <row r="236">
          <cell r="B236" t="str">
            <v>1406+1414+1483</v>
          </cell>
          <cell r="C236" t="str">
            <v>CART. INVER. PUB. X  VEN.</v>
          </cell>
          <cell r="D236">
            <v>41152</v>
          </cell>
          <cell r="E236">
            <v>0</v>
          </cell>
          <cell r="F236">
            <v>0</v>
          </cell>
          <cell r="G236">
            <v>946703.87254999997</v>
          </cell>
          <cell r="H236">
            <v>0</v>
          </cell>
          <cell r="I236">
            <v>0</v>
          </cell>
          <cell r="J236">
            <v>946703.87254999997</v>
          </cell>
          <cell r="K236">
            <v>946703.87254999997</v>
          </cell>
          <cell r="L236">
            <v>0</v>
          </cell>
        </row>
        <row r="241">
          <cell r="B241" t="str">
            <v>1406+1414+1483</v>
          </cell>
          <cell r="C241" t="str">
            <v>CART. INVER. PUB. X  VEN.</v>
          </cell>
          <cell r="D241">
            <v>41182</v>
          </cell>
          <cell r="E241">
            <v>0</v>
          </cell>
          <cell r="F241">
            <v>0</v>
          </cell>
          <cell r="G241">
            <v>947585.53266999999</v>
          </cell>
          <cell r="H241">
            <v>0</v>
          </cell>
          <cell r="I241">
            <v>0</v>
          </cell>
          <cell r="J241">
            <v>947585.53266999999</v>
          </cell>
          <cell r="K241">
            <v>947585.53266999999</v>
          </cell>
          <cell r="L241">
            <v>0</v>
          </cell>
        </row>
        <row r="242">
          <cell r="B242" t="str">
            <v>1406+1414+1483</v>
          </cell>
          <cell r="C242" t="str">
            <v>CART. INVER. PUB. X  VEN.</v>
          </cell>
          <cell r="D242" t="str">
            <v>PROMEDIO</v>
          </cell>
          <cell r="E242">
            <v>0</v>
          </cell>
          <cell r="F242">
            <v>0</v>
          </cell>
          <cell r="G242">
            <v>947144.70261000004</v>
          </cell>
          <cell r="H242">
            <v>0</v>
          </cell>
          <cell r="I242">
            <v>0</v>
          </cell>
          <cell r="J242">
            <v>947144.70261000004</v>
          </cell>
          <cell r="K242">
            <v>947144.70261000004</v>
          </cell>
          <cell r="L242">
            <v>0</v>
          </cell>
        </row>
        <row r="244">
          <cell r="B244" t="str">
            <v>1409+1410+1411+1412+1413+1414</v>
          </cell>
          <cell r="C244" t="str">
            <v>CART. REFIN. X VENC.</v>
          </cell>
          <cell r="D244">
            <v>40908</v>
          </cell>
        </row>
        <row r="245">
          <cell r="B245" t="str">
            <v>1409+1410+1411+1412+1413+1414</v>
          </cell>
          <cell r="C245" t="str">
            <v>CART. REFIN. X VENC.</v>
          </cell>
          <cell r="D245">
            <v>40939</v>
          </cell>
        </row>
        <row r="246">
          <cell r="B246" t="str">
            <v>1409+1410+1411+1412+1413+1414</v>
          </cell>
          <cell r="C246" t="str">
            <v>CART. REFIN. X VENC.</v>
          </cell>
          <cell r="D246">
            <v>40968</v>
          </cell>
        </row>
        <row r="247">
          <cell r="B247" t="str">
            <v>1409+1410+1411+1412+1413+1414</v>
          </cell>
          <cell r="C247" t="str">
            <v>CART. REFIN. X VENC.</v>
          </cell>
          <cell r="D247">
            <v>40999</v>
          </cell>
        </row>
        <row r="248">
          <cell r="B248" t="str">
            <v>1409+1410+1411+1412+1413+1414</v>
          </cell>
          <cell r="C248" t="str">
            <v>CART. REFIN. X VENC.</v>
          </cell>
          <cell r="D248">
            <v>41029</v>
          </cell>
        </row>
        <row r="249">
          <cell r="B249" t="str">
            <v>1409+1410+1411+1412+1413+1414</v>
          </cell>
          <cell r="C249" t="str">
            <v>CART. REFIN. X VENC.</v>
          </cell>
          <cell r="D249">
            <v>41060</v>
          </cell>
        </row>
        <row r="250">
          <cell r="B250" t="str">
            <v>1409+1410+1411+1412+1413+1414</v>
          </cell>
          <cell r="C250" t="str">
            <v>CART. REFIN. X VENC.</v>
          </cell>
          <cell r="D250">
            <v>41090</v>
          </cell>
        </row>
        <row r="251">
          <cell r="B251" t="str">
            <v>1409+1410+1411+1412+1413+1415</v>
          </cell>
          <cell r="C251" t="str">
            <v>CART. REFIN. X VENC.</v>
          </cell>
          <cell r="D251">
            <v>41121</v>
          </cell>
        </row>
        <row r="252">
          <cell r="B252" t="str">
            <v>1409+1410+1411+1412+1413+1414</v>
          </cell>
          <cell r="C252" t="str">
            <v>CART. REFIN. X VENC.</v>
          </cell>
          <cell r="D252">
            <v>41152</v>
          </cell>
          <cell r="E252">
            <v>755.70586000000003</v>
          </cell>
          <cell r="F252">
            <v>755.70586000000003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755.70586000000003</v>
          </cell>
          <cell r="L252">
            <v>0</v>
          </cell>
        </row>
        <row r="257">
          <cell r="B257" t="str">
            <v>1409+1410+1411+1412+1413+1414</v>
          </cell>
          <cell r="C257" t="str">
            <v>CART. REFIN. X VENC.</v>
          </cell>
          <cell r="D257">
            <v>41182</v>
          </cell>
          <cell r="E257">
            <v>755.70586000000003</v>
          </cell>
          <cell r="F257">
            <v>755.70586000000003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755.70586000000003</v>
          </cell>
          <cell r="L257">
            <v>0</v>
          </cell>
        </row>
        <row r="258">
          <cell r="B258" t="str">
            <v>1409+1410+1411+1412+1413+1414</v>
          </cell>
          <cell r="C258" t="str">
            <v>CART. REFIN. X VENC.</v>
          </cell>
          <cell r="D258" t="str">
            <v>PROMEDIO</v>
          </cell>
          <cell r="E258">
            <v>755.70586000000003</v>
          </cell>
          <cell r="F258">
            <v>755.70586000000003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755.70586000000003</v>
          </cell>
          <cell r="L258">
            <v>0</v>
          </cell>
        </row>
        <row r="260">
          <cell r="B260" t="str">
            <v>1405+1406+1407+1408</v>
          </cell>
          <cell r="C260" t="str">
            <v>CART. REEST. x VENC.</v>
          </cell>
          <cell r="D260">
            <v>40908</v>
          </cell>
          <cell r="E260">
            <v>4277.8032499999999</v>
          </cell>
          <cell r="F260">
            <v>4277.8032499999999</v>
          </cell>
          <cell r="G260">
            <v>0</v>
          </cell>
          <cell r="H260">
            <v>30164.88118</v>
          </cell>
          <cell r="I260">
            <v>11436.493759999999</v>
          </cell>
          <cell r="J260">
            <v>41601.374940000002</v>
          </cell>
          <cell r="K260">
            <v>45879.178189999999</v>
          </cell>
          <cell r="L260">
            <v>0</v>
          </cell>
        </row>
        <row r="261">
          <cell r="B261" t="str">
            <v>1405+1406+1407+1408</v>
          </cell>
          <cell r="C261" t="str">
            <v>CART. REEST. x VENC.</v>
          </cell>
          <cell r="D261">
            <v>40939</v>
          </cell>
          <cell r="E261">
            <v>4196.9076100000002</v>
          </cell>
          <cell r="F261">
            <v>4196.9076100000002</v>
          </cell>
          <cell r="G261">
            <v>0</v>
          </cell>
          <cell r="H261">
            <v>27027.736239999998</v>
          </cell>
          <cell r="I261">
            <v>10260.92618</v>
          </cell>
          <cell r="J261">
            <v>37288.662420000001</v>
          </cell>
          <cell r="K261">
            <v>41485.570030000003</v>
          </cell>
          <cell r="L261">
            <v>0</v>
          </cell>
        </row>
        <row r="262">
          <cell r="B262" t="str">
            <v>1405+1406+1407+1408</v>
          </cell>
          <cell r="C262" t="str">
            <v>CART. REEST. x VENC.</v>
          </cell>
          <cell r="D262">
            <v>40968</v>
          </cell>
          <cell r="E262">
            <v>4246.2492199999997</v>
          </cell>
          <cell r="F262">
            <v>4246.2492199999997</v>
          </cell>
          <cell r="G262">
            <v>0</v>
          </cell>
          <cell r="H262">
            <v>23688.503120000001</v>
          </cell>
          <cell r="I262">
            <v>9928.5128499999992</v>
          </cell>
          <cell r="J262">
            <v>33617.01597</v>
          </cell>
          <cell r="K262">
            <v>37863.265189999998</v>
          </cell>
          <cell r="L262">
            <v>0</v>
          </cell>
        </row>
        <row r="263">
          <cell r="B263" t="str">
            <v>1405+1406+1407+1408</v>
          </cell>
          <cell r="C263" t="str">
            <v>CART. REEST. x VENC.</v>
          </cell>
          <cell r="D263">
            <v>40999</v>
          </cell>
          <cell r="E263">
            <v>4228.6839300000001</v>
          </cell>
          <cell r="F263">
            <v>4228.6839300000001</v>
          </cell>
          <cell r="G263">
            <v>0</v>
          </cell>
          <cell r="H263">
            <v>21307.323640000002</v>
          </cell>
          <cell r="I263">
            <v>9953.8719500000007</v>
          </cell>
          <cell r="J263">
            <v>31261.195590000003</v>
          </cell>
          <cell r="K263">
            <v>35489.879520000002</v>
          </cell>
          <cell r="L263">
            <v>0</v>
          </cell>
        </row>
        <row r="264">
          <cell r="B264" t="str">
            <v>1405+1406+1407+1408</v>
          </cell>
          <cell r="C264" t="str">
            <v>CART. REEST. x VENC.</v>
          </cell>
          <cell r="D264">
            <v>41029</v>
          </cell>
          <cell r="E264">
            <v>4153.7921299999998</v>
          </cell>
          <cell r="F264">
            <v>4153.7921299999998</v>
          </cell>
          <cell r="G264">
            <v>0</v>
          </cell>
          <cell r="H264">
            <v>20145.340669999998</v>
          </cell>
          <cell r="I264">
            <v>9623.6943699999993</v>
          </cell>
          <cell r="J264">
            <v>29769.035039999995</v>
          </cell>
          <cell r="K264">
            <v>33922.827169999997</v>
          </cell>
          <cell r="L264">
            <v>0</v>
          </cell>
        </row>
        <row r="265">
          <cell r="B265" t="str">
            <v>1405+1406+1407+1408</v>
          </cell>
          <cell r="C265" t="str">
            <v>CART. REEST. x VENC.</v>
          </cell>
          <cell r="D265">
            <v>41060</v>
          </cell>
          <cell r="E265">
            <v>4129.7849299999998</v>
          </cell>
          <cell r="F265">
            <v>4129.7849299999998</v>
          </cell>
          <cell r="G265">
            <v>0</v>
          </cell>
          <cell r="H265">
            <v>19000.319659999997</v>
          </cell>
          <cell r="I265">
            <v>9085.8610100000005</v>
          </cell>
          <cell r="J265">
            <v>28086.180669999998</v>
          </cell>
          <cell r="K265">
            <v>32215.965599999996</v>
          </cell>
          <cell r="L265">
            <v>0</v>
          </cell>
        </row>
        <row r="266">
          <cell r="B266" t="str">
            <v>1405+1406+1407+1408</v>
          </cell>
          <cell r="C266" t="str">
            <v>CART. REEST. x VENC.</v>
          </cell>
          <cell r="D266">
            <v>41090</v>
          </cell>
          <cell r="E266">
            <v>4124.7110300000004</v>
          </cell>
          <cell r="F266">
            <v>4124.7110300000004</v>
          </cell>
          <cell r="G266">
            <v>0</v>
          </cell>
          <cell r="H266">
            <v>17994.512840000003</v>
          </cell>
          <cell r="I266">
            <v>8930.4202399999995</v>
          </cell>
          <cell r="J266">
            <v>26924.933080000003</v>
          </cell>
          <cell r="K266">
            <v>31049.644110000001</v>
          </cell>
          <cell r="L266">
            <v>0</v>
          </cell>
        </row>
        <row r="267">
          <cell r="B267" t="str">
            <v>1405+1406+1407+1408</v>
          </cell>
          <cell r="C267" t="str">
            <v>CART. REEST. x VENC.</v>
          </cell>
          <cell r="D267">
            <v>41121</v>
          </cell>
          <cell r="E267">
            <v>4132.1247800000001</v>
          </cell>
          <cell r="F267">
            <v>4132.1247800000001</v>
          </cell>
          <cell r="G267">
            <v>0</v>
          </cell>
          <cell r="H267">
            <v>17187.703869999998</v>
          </cell>
          <cell r="I267">
            <v>7988.2480299999997</v>
          </cell>
          <cell r="J267">
            <v>25175.951899999996</v>
          </cell>
          <cell r="K267">
            <v>29308.076679999995</v>
          </cell>
          <cell r="L267">
            <v>0</v>
          </cell>
        </row>
        <row r="268">
          <cell r="B268" t="str">
            <v>1417+1418+1419+1420+1421+1422</v>
          </cell>
          <cell r="C268" t="str">
            <v>CART. REEST. x VENC.</v>
          </cell>
          <cell r="D268">
            <v>41152</v>
          </cell>
          <cell r="E268">
            <v>4080.31583</v>
          </cell>
          <cell r="F268">
            <v>4080.31583</v>
          </cell>
          <cell r="G268">
            <v>0</v>
          </cell>
          <cell r="H268">
            <v>15806.81631</v>
          </cell>
          <cell r="I268">
            <v>7830.4666299999999</v>
          </cell>
          <cell r="J268">
            <v>23637.282939999997</v>
          </cell>
          <cell r="K268">
            <v>27717.598769999997</v>
          </cell>
          <cell r="L268">
            <v>0</v>
          </cell>
        </row>
        <row r="273">
          <cell r="B273" t="str">
            <v>1417+1418+1419+1420+1421+1422</v>
          </cell>
          <cell r="C273" t="str">
            <v>CART. REEST. x VENC.</v>
          </cell>
          <cell r="D273">
            <v>41182</v>
          </cell>
          <cell r="E273">
            <v>4056.2760699999999</v>
          </cell>
          <cell r="F273">
            <v>4056.2760699999999</v>
          </cell>
          <cell r="G273">
            <v>0</v>
          </cell>
          <cell r="H273">
            <v>15327.060020000001</v>
          </cell>
          <cell r="I273">
            <v>9270.1862099999998</v>
          </cell>
          <cell r="J273">
            <v>24597.246229999997</v>
          </cell>
          <cell r="K273">
            <v>28653.522299999997</v>
          </cell>
          <cell r="L273">
            <v>0</v>
          </cell>
        </row>
        <row r="274">
          <cell r="B274" t="str">
            <v>1417+1418+1419+1420+1421+1422</v>
          </cell>
          <cell r="C274" t="str">
            <v>CART. REEST. x VENC.</v>
          </cell>
          <cell r="D274" t="str">
            <v>PROMEDIO</v>
          </cell>
          <cell r="E274">
            <v>4162.6648779999996</v>
          </cell>
          <cell r="F274">
            <v>4162.6648779999996</v>
          </cell>
          <cell r="G274">
            <v>0</v>
          </cell>
          <cell r="H274">
            <v>20765.019755000001</v>
          </cell>
          <cell r="I274">
            <v>9430.8681230000002</v>
          </cell>
          <cell r="J274">
            <v>30195.887877999998</v>
          </cell>
          <cell r="K274">
            <v>34358.552756000005</v>
          </cell>
          <cell r="L274">
            <v>0</v>
          </cell>
        </row>
        <row r="276">
          <cell r="B276" t="str">
            <v>1401+1402+1403+1404+1405+1406+1407+1408</v>
          </cell>
          <cell r="C276" t="str">
            <v>CART. x VENC.</v>
          </cell>
          <cell r="D276">
            <v>40908</v>
          </cell>
          <cell r="E276">
            <v>155305.19724000001</v>
          </cell>
          <cell r="F276">
            <v>155305.19724000001</v>
          </cell>
          <cell r="G276">
            <v>926961.97661000001</v>
          </cell>
          <cell r="H276">
            <v>874166.00838000001</v>
          </cell>
          <cell r="I276">
            <v>924406.41380999994</v>
          </cell>
          <cell r="J276">
            <v>2725534.3988000001</v>
          </cell>
          <cell r="K276">
            <v>2880839.5960399997</v>
          </cell>
          <cell r="L276">
            <v>234716.55067</v>
          </cell>
        </row>
        <row r="277">
          <cell r="B277" t="str">
            <v>1401+1402+1403+1404+1405+1406+1407+1408</v>
          </cell>
          <cell r="C277" t="str">
            <v>CART. x VENC.</v>
          </cell>
          <cell r="D277">
            <v>40939</v>
          </cell>
          <cell r="E277">
            <v>154816.3792</v>
          </cell>
          <cell r="F277">
            <v>154816.3792</v>
          </cell>
          <cell r="G277">
            <v>922195.33944999997</v>
          </cell>
          <cell r="H277">
            <v>834512.53182999999</v>
          </cell>
          <cell r="I277">
            <v>934002.38004999992</v>
          </cell>
          <cell r="J277">
            <v>2690710.2513299999</v>
          </cell>
          <cell r="K277">
            <v>2845526.6305299997</v>
          </cell>
          <cell r="L277">
            <v>238576.78367999999</v>
          </cell>
        </row>
        <row r="278">
          <cell r="B278" t="str">
            <v>1401+1402+1403+1404+1405+1406+1407+1408</v>
          </cell>
          <cell r="C278" t="str">
            <v>CART. x VENC.</v>
          </cell>
          <cell r="D278">
            <v>40968</v>
          </cell>
          <cell r="E278">
            <v>156258.56672999999</v>
          </cell>
          <cell r="F278">
            <v>156258.56672999999</v>
          </cell>
          <cell r="G278">
            <v>918632.14127000002</v>
          </cell>
          <cell r="H278">
            <v>802908.06660000002</v>
          </cell>
          <cell r="I278">
            <v>950830.21491999994</v>
          </cell>
          <cell r="J278">
            <v>2672370.4227900002</v>
          </cell>
          <cell r="K278">
            <v>2828628.9895199998</v>
          </cell>
          <cell r="L278">
            <v>239457.20861</v>
          </cell>
        </row>
        <row r="279">
          <cell r="B279" t="str">
            <v>1401+1402+1403+1404+1405+1406+1407+1408</v>
          </cell>
          <cell r="C279" t="str">
            <v>CART. x VENC.</v>
          </cell>
          <cell r="D279">
            <v>40999</v>
          </cell>
          <cell r="E279">
            <v>161459.00055</v>
          </cell>
          <cell r="F279">
            <v>161459.00055</v>
          </cell>
          <cell r="G279">
            <v>922997.22146000003</v>
          </cell>
          <cell r="H279">
            <v>787169.58357000002</v>
          </cell>
          <cell r="I279">
            <v>975470.38087999984</v>
          </cell>
          <cell r="J279">
            <v>2685637.1859100005</v>
          </cell>
          <cell r="K279">
            <v>2847096.18646</v>
          </cell>
          <cell r="L279">
            <v>242808.48499</v>
          </cell>
        </row>
        <row r="280">
          <cell r="B280" t="str">
            <v>1401+1402+1403+1404+1405+1406+1407+1408</v>
          </cell>
          <cell r="C280" t="str">
            <v>CART. x VENC.</v>
          </cell>
          <cell r="D280">
            <v>41029</v>
          </cell>
          <cell r="E280">
            <v>155267.81229</v>
          </cell>
          <cell r="F280">
            <v>155267.81229</v>
          </cell>
          <cell r="G280">
            <v>931726.48988000001</v>
          </cell>
          <cell r="H280">
            <v>775122.24737</v>
          </cell>
          <cell r="I280">
            <v>980851.87534999999</v>
          </cell>
          <cell r="J280">
            <v>2687700.6126000001</v>
          </cell>
          <cell r="K280">
            <v>2842968.4248899999</v>
          </cell>
          <cell r="L280">
            <v>246969.46165000001</v>
          </cell>
        </row>
        <row r="281">
          <cell r="B281" t="str">
            <v>1401+1402+1403+1404+1405+1406+1407+1408</v>
          </cell>
          <cell r="C281" t="str">
            <v>CART. x VENC.</v>
          </cell>
          <cell r="D281">
            <v>41060</v>
          </cell>
          <cell r="E281">
            <v>160928.20790000001</v>
          </cell>
          <cell r="F281">
            <v>160928.20790000001</v>
          </cell>
          <cell r="G281">
            <v>927376.65954999998</v>
          </cell>
          <cell r="H281">
            <v>763435.46890999994</v>
          </cell>
          <cell r="I281">
            <v>1000613.96182</v>
          </cell>
          <cell r="J281">
            <v>2691426.0902800001</v>
          </cell>
          <cell r="K281">
            <v>2852354.2981800004</v>
          </cell>
          <cell r="L281">
            <v>247252.69104000001</v>
          </cell>
        </row>
        <row r="282">
          <cell r="B282" t="str">
            <v>1401+1402+1403+1404+1405+1406+1407+1408</v>
          </cell>
          <cell r="C282" t="str">
            <v>CART. x VENC.</v>
          </cell>
          <cell r="D282">
            <v>41090</v>
          </cell>
          <cell r="E282">
            <v>164213.12683000002</v>
          </cell>
          <cell r="F282">
            <v>164213.12683000002</v>
          </cell>
          <cell r="G282">
            <v>932451.28705000004</v>
          </cell>
          <cell r="H282">
            <v>761713.18051999994</v>
          </cell>
          <cell r="I282">
            <v>1025618.24023</v>
          </cell>
          <cell r="J282">
            <v>2719782.7078000004</v>
          </cell>
          <cell r="K282">
            <v>2883995.8346299999</v>
          </cell>
          <cell r="L282">
            <v>245982.15677</v>
          </cell>
        </row>
        <row r="283">
          <cell r="B283" t="str">
            <v>1401+1402+1403+1404+1405+1406+1407+1408</v>
          </cell>
          <cell r="C283" t="str">
            <v>CART. x VENC.</v>
          </cell>
          <cell r="D283">
            <v>41121</v>
          </cell>
          <cell r="E283">
            <v>161859.39191000003</v>
          </cell>
          <cell r="F283">
            <v>161859.39191000003</v>
          </cell>
          <cell r="G283">
            <v>932374.50664000004</v>
          </cell>
          <cell r="H283">
            <v>761463.63957</v>
          </cell>
          <cell r="I283">
            <v>1038449.31276</v>
          </cell>
          <cell r="J283">
            <v>2732287.4589700005</v>
          </cell>
          <cell r="K283">
            <v>2894146.8508800007</v>
          </cell>
          <cell r="L283">
            <v>250583.00004000001</v>
          </cell>
        </row>
        <row r="284">
          <cell r="B284" t="str">
            <v>1401+1402+1403+1404+1405+1406+1409+1410+1411+1412+1413+1414+1417+1418+1419+1420+1421+1422</v>
          </cell>
          <cell r="C284" t="str">
            <v>CART. x VENC.</v>
          </cell>
          <cell r="D284">
            <v>41121</v>
          </cell>
          <cell r="E284">
            <v>164058.18330999999</v>
          </cell>
          <cell r="F284">
            <v>164058.18330999999</v>
          </cell>
          <cell r="G284">
            <v>946703.87254999997</v>
          </cell>
          <cell r="H284">
            <v>768629.94657999999</v>
          </cell>
          <cell r="I284">
            <v>1082343.0022099998</v>
          </cell>
          <cell r="J284">
            <v>2797676.8213400003</v>
          </cell>
          <cell r="K284">
            <v>2961735.0046500005</v>
          </cell>
          <cell r="L284">
            <v>254572.75235</v>
          </cell>
        </row>
        <row r="289">
          <cell r="B289" t="str">
            <v>1401+1402+1403+1404+1405+1406+1409+1410+1411+1412+1413+1414+1417+1418+1419+1420+1421+1422</v>
          </cell>
          <cell r="C289" t="str">
            <v>CART. x VENC.</v>
          </cell>
          <cell r="D289">
            <v>41121</v>
          </cell>
          <cell r="E289">
            <v>165053.54918999999</v>
          </cell>
          <cell r="F289">
            <v>165053.54918999999</v>
          </cell>
          <cell r="G289">
            <v>947585.53266999999</v>
          </cell>
          <cell r="H289">
            <v>776067.60800000001</v>
          </cell>
          <cell r="I289">
            <v>1121661.00178</v>
          </cell>
          <cell r="J289">
            <v>2845314.1424500002</v>
          </cell>
          <cell r="K289">
            <v>3010367.6916400003</v>
          </cell>
          <cell r="L289">
            <v>257687.12669</v>
          </cell>
        </row>
        <row r="290">
          <cell r="B290" t="str">
            <v>1401+1402+1403+1404+1405+1406+1409+1410+1411+1412+1413+1414+1417+1418+1419+1420+1421+1422</v>
          </cell>
          <cell r="C290" t="str">
            <v>CART. x VENC.</v>
          </cell>
          <cell r="D290" t="str">
            <v>PROMEDIO</v>
          </cell>
          <cell r="E290">
            <v>159921.94151500001</v>
          </cell>
          <cell r="F290">
            <v>159921.94151500001</v>
          </cell>
          <cell r="G290">
            <v>930900.50271300017</v>
          </cell>
          <cell r="H290">
            <v>790518.82813299994</v>
          </cell>
          <cell r="I290">
            <v>1003424.6783809999</v>
          </cell>
          <cell r="J290">
            <v>2724844.0092269997</v>
          </cell>
          <cell r="K290">
            <v>2884765.9507420002</v>
          </cell>
          <cell r="L290">
            <v>245860.62164900001</v>
          </cell>
        </row>
        <row r="296">
          <cell r="E296">
            <v>142585.24426000001</v>
          </cell>
          <cell r="F296">
            <v>142585.24426000001</v>
          </cell>
          <cell r="G296">
            <v>741471.56219100009</v>
          </cell>
          <cell r="H296">
            <v>536707.0855690001</v>
          </cell>
          <cell r="I296">
            <v>965486.76126599999</v>
          </cell>
          <cell r="J296">
            <v>2243665.4090259997</v>
          </cell>
          <cell r="K296">
            <v>2386250.6532859998</v>
          </cell>
          <cell r="L296">
            <v>0</v>
          </cell>
        </row>
        <row r="297">
          <cell r="E297">
            <v>0</v>
          </cell>
          <cell r="F297">
            <v>0</v>
          </cell>
          <cell r="G297">
            <v>0</v>
          </cell>
          <cell r="H297">
            <v>35464.457899000001</v>
          </cell>
          <cell r="I297">
            <v>0</v>
          </cell>
          <cell r="J297">
            <v>35464.457899000001</v>
          </cell>
          <cell r="K297">
            <v>35464.457899000001</v>
          </cell>
          <cell r="L297">
            <v>194634.633745</v>
          </cell>
        </row>
        <row r="298">
          <cell r="E298">
            <v>13987.691566999998</v>
          </cell>
          <cell r="F298">
            <v>13987.691566999998</v>
          </cell>
          <cell r="G298">
            <v>0</v>
          </cell>
          <cell r="H298">
            <v>0</v>
          </cell>
          <cell r="I298">
            <v>263.09547099999997</v>
          </cell>
          <cell r="J298">
            <v>263.09547099999997</v>
          </cell>
          <cell r="K298">
            <v>14250.787038</v>
          </cell>
          <cell r="L298">
            <v>0</v>
          </cell>
        </row>
        <row r="299">
          <cell r="E299">
            <v>0</v>
          </cell>
          <cell r="F299">
            <v>0</v>
          </cell>
          <cell r="G299">
            <v>0</v>
          </cell>
          <cell r="H299">
            <v>200695.652543</v>
          </cell>
          <cell r="I299">
            <v>29954.018805000007</v>
          </cell>
          <cell r="J299">
            <v>230649.671348</v>
          </cell>
          <cell r="K299">
            <v>230649.671348</v>
          </cell>
          <cell r="L299">
            <v>0</v>
          </cell>
        </row>
        <row r="300"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256129.93952000001</v>
          </cell>
        </row>
        <row r="301">
          <cell r="E301">
            <v>0</v>
          </cell>
          <cell r="F301">
            <v>0</v>
          </cell>
          <cell r="G301">
            <v>947144.70261000004</v>
          </cell>
          <cell r="H301">
            <v>0</v>
          </cell>
          <cell r="I301">
            <v>0</v>
          </cell>
          <cell r="J301">
            <v>947144.70261000004</v>
          </cell>
          <cell r="K301">
            <v>947144.70261000004</v>
          </cell>
          <cell r="L301">
            <v>0</v>
          </cell>
        </row>
        <row r="302">
          <cell r="E302">
            <v>755.70586000000003</v>
          </cell>
          <cell r="F302">
            <v>755.70586000000003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755.70586000000003</v>
          </cell>
          <cell r="L302">
            <v>0</v>
          </cell>
        </row>
        <row r="303">
          <cell r="E303">
            <v>4162.6648779999996</v>
          </cell>
          <cell r="F303">
            <v>4162.6648779999996</v>
          </cell>
          <cell r="G303">
            <v>0</v>
          </cell>
          <cell r="H303">
            <v>20765.019755000001</v>
          </cell>
          <cell r="I303">
            <v>9430.8681230000002</v>
          </cell>
          <cell r="J303">
            <v>30195.887877999998</v>
          </cell>
          <cell r="K303">
            <v>34358.552756000005</v>
          </cell>
          <cell r="L303">
            <v>0</v>
          </cell>
        </row>
        <row r="304">
          <cell r="E304">
            <v>159921.94151500001</v>
          </cell>
          <cell r="F304">
            <v>159921.94151500001</v>
          </cell>
          <cell r="G304">
            <v>930900.50271300017</v>
          </cell>
          <cell r="H304">
            <v>790518.82813299994</v>
          </cell>
          <cell r="I304">
            <v>1003424.6783809999</v>
          </cell>
          <cell r="J304">
            <v>2724844.0092269997</v>
          </cell>
          <cell r="K304">
            <v>2884765.9507420002</v>
          </cell>
          <cell r="L304">
            <v>245860.62164900001</v>
          </cell>
        </row>
        <row r="307">
          <cell r="E307">
            <v>6559.1695200000004</v>
          </cell>
          <cell r="F307">
            <v>6559.1695200000004</v>
          </cell>
          <cell r="G307">
            <v>0</v>
          </cell>
          <cell r="H307">
            <v>41872.349020000001</v>
          </cell>
          <cell r="I307">
            <v>58997.443050000002</v>
          </cell>
          <cell r="J307">
            <v>100869.79207</v>
          </cell>
          <cell r="K307">
            <v>107428.96158999999</v>
          </cell>
          <cell r="L307">
            <v>0</v>
          </cell>
        </row>
        <row r="308">
          <cell r="E308">
            <v>0</v>
          </cell>
          <cell r="F308">
            <v>0</v>
          </cell>
          <cell r="G308">
            <v>0</v>
          </cell>
          <cell r="H308">
            <v>4383.5789800000002</v>
          </cell>
          <cell r="I308">
            <v>0</v>
          </cell>
          <cell r="J308">
            <v>4383.5789800000002</v>
          </cell>
          <cell r="K308">
            <v>4383.5789800000002</v>
          </cell>
          <cell r="L308">
            <v>0</v>
          </cell>
        </row>
        <row r="309">
          <cell r="E309">
            <v>1037.98461</v>
          </cell>
          <cell r="F309">
            <v>1037.98461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1037.98461</v>
          </cell>
          <cell r="L309">
            <v>0</v>
          </cell>
        </row>
        <row r="310">
          <cell r="E310">
            <v>0</v>
          </cell>
          <cell r="F310">
            <v>0</v>
          </cell>
          <cell r="G310">
            <v>0</v>
          </cell>
          <cell r="H310">
            <v>14366.85137</v>
          </cell>
          <cell r="I310">
            <v>2159.59717</v>
          </cell>
          <cell r="J310">
            <v>16526.448540000001</v>
          </cell>
          <cell r="K310">
            <v>16526.448540000001</v>
          </cell>
          <cell r="L310">
            <v>0</v>
          </cell>
        </row>
        <row r="311"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10713.329309999999</v>
          </cell>
        </row>
        <row r="312">
          <cell r="E312">
            <v>0</v>
          </cell>
          <cell r="F312">
            <v>0</v>
          </cell>
          <cell r="G312">
            <v>53177.842060000003</v>
          </cell>
          <cell r="H312">
            <v>0</v>
          </cell>
          <cell r="I312">
            <v>0</v>
          </cell>
          <cell r="J312">
            <v>53177.842060000003</v>
          </cell>
          <cell r="K312">
            <v>53177.842060000003</v>
          </cell>
          <cell r="L312">
            <v>0</v>
          </cell>
        </row>
        <row r="313">
          <cell r="E313">
            <v>6.5775800000000002</v>
          </cell>
          <cell r="F313">
            <v>6.5775800000000002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6.5775800000000002</v>
          </cell>
          <cell r="L313">
            <v>0</v>
          </cell>
        </row>
        <row r="314">
          <cell r="E314">
            <v>272.52188000000001</v>
          </cell>
          <cell r="F314">
            <v>272.52188000000001</v>
          </cell>
          <cell r="G314">
            <v>0</v>
          </cell>
          <cell r="H314">
            <v>1558.40004</v>
          </cell>
          <cell r="I314">
            <v>715.87869999999998</v>
          </cell>
          <cell r="J314">
            <v>2274.2787399999997</v>
          </cell>
          <cell r="K314">
            <v>2546.80062</v>
          </cell>
          <cell r="L314">
            <v>0</v>
          </cell>
        </row>
        <row r="315">
          <cell r="E315">
            <v>8240.4868200000001</v>
          </cell>
          <cell r="F315">
            <v>8240.4868200000001</v>
          </cell>
          <cell r="G315">
            <v>53191.33625</v>
          </cell>
          <cell r="H315">
            <v>66262.218110000002</v>
          </cell>
          <cell r="I315">
            <v>72434.785140000007</v>
          </cell>
          <cell r="J315">
            <v>191888.3395</v>
          </cell>
          <cell r="K315">
            <v>200128.82631999999</v>
          </cell>
          <cell r="L315">
            <v>11329.54412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1">
          <cell r="E61" t="str">
            <v>BANCO ECUATORIANO DE LA VIVIENDA</v>
          </cell>
          <cell r="F61" t="str">
            <v>BANCO DEL ESTADO</v>
          </cell>
          <cell r="G61" t="str">
            <v>BANCO NACIONAL DE FOMENTO</v>
          </cell>
          <cell r="H61" t="str">
            <v>CORPORACION FINANCIERA NACIONAL</v>
          </cell>
          <cell r="I61" t="str">
            <v>IECE</v>
          </cell>
        </row>
        <row r="62">
          <cell r="D62" t="str">
            <v>ACTIVO</v>
          </cell>
          <cell r="E62">
            <v>260130.65908000001</v>
          </cell>
          <cell r="F62">
            <v>1377321.1102499999</v>
          </cell>
          <cell r="G62">
            <v>1514532.4000800001</v>
          </cell>
          <cell r="H62">
            <v>2227612.5454500001</v>
          </cell>
          <cell r="I62">
            <v>408331.20366</v>
          </cell>
        </row>
        <row r="63">
          <cell r="D63" t="str">
            <v>PASIVO</v>
          </cell>
          <cell r="E63">
            <v>183493.60060999999</v>
          </cell>
          <cell r="F63">
            <v>929373.24679</v>
          </cell>
          <cell r="G63">
            <v>1111302.22538</v>
          </cell>
          <cell r="H63">
            <v>1340639.9969899999</v>
          </cell>
          <cell r="I63">
            <v>40222.585950000001</v>
          </cell>
        </row>
        <row r="64">
          <cell r="D64" t="str">
            <v>PATRIMONIO</v>
          </cell>
          <cell r="E64">
            <v>82054.717470000003</v>
          </cell>
          <cell r="F64">
            <v>411672.34602</v>
          </cell>
          <cell r="G64">
            <v>414246.40025000001</v>
          </cell>
          <cell r="H64">
            <v>819897.06710999995</v>
          </cell>
          <cell r="I64">
            <v>363639.52811999997</v>
          </cell>
        </row>
        <row r="65">
          <cell r="D65" t="str">
            <v>CARTERA</v>
          </cell>
          <cell r="E65">
            <v>171838.32339999999</v>
          </cell>
          <cell r="F65">
            <v>936618.43749000004</v>
          </cell>
          <cell r="G65">
            <v>818648.83354999998</v>
          </cell>
          <cell r="H65">
            <v>1121186.24346</v>
          </cell>
          <cell r="I65">
            <v>273453.80021999998</v>
          </cell>
        </row>
      </sheetData>
      <sheetData sheetId="7">
        <row r="9">
          <cell r="D9">
            <v>41152</v>
          </cell>
          <cell r="F9">
            <v>41182</v>
          </cell>
          <cell r="J9">
            <v>41152</v>
          </cell>
          <cell r="L9">
            <v>41182</v>
          </cell>
          <cell r="P9">
            <v>41152</v>
          </cell>
          <cell r="R9">
            <v>41182</v>
          </cell>
          <cell r="V9">
            <v>41152</v>
          </cell>
          <cell r="X9">
            <v>41182</v>
          </cell>
          <cell r="AB9">
            <v>41152</v>
          </cell>
          <cell r="AD9">
            <v>41182</v>
          </cell>
          <cell r="AH9">
            <v>41152</v>
          </cell>
          <cell r="AJ9">
            <v>41182</v>
          </cell>
          <cell r="AN9">
            <v>41152</v>
          </cell>
          <cell r="AP9">
            <v>41182</v>
          </cell>
          <cell r="AT9">
            <v>41152</v>
          </cell>
          <cell r="AV9">
            <v>41182</v>
          </cell>
          <cell r="AZ9">
            <v>41152</v>
          </cell>
          <cell r="BB9">
            <v>41182</v>
          </cell>
        </row>
        <row r="12">
          <cell r="B12" t="str">
            <v>BANCO ECUATORIANO DE LA VIVIENDA</v>
          </cell>
          <cell r="D12">
            <v>5.2073143401905639</v>
          </cell>
          <cell r="F12">
            <v>4.835504831829569</v>
          </cell>
          <cell r="H12" t="str">
            <v>BANCO ECUATORIANO DE LA VIVIENDA</v>
          </cell>
          <cell r="J12">
            <v>5.6507266871602368</v>
          </cell>
          <cell r="L12">
            <v>5.1473612476485009</v>
          </cell>
          <cell r="N12" t="str">
            <v>BANCO ECUATORIANO DE LA VIVIENDA</v>
          </cell>
          <cell r="P12">
            <v>4.7649190247014035</v>
          </cell>
          <cell r="R12">
            <v>4.748892697975144</v>
          </cell>
          <cell r="T12" t="str">
            <v>BANCO ECUATORIANO DE LA VIVIENDA</v>
          </cell>
          <cell r="V12">
            <v>2.7529921471869581</v>
          </cell>
          <cell r="X12">
            <v>1.4606799160805306</v>
          </cell>
          <cell r="Z12" t="str">
            <v>BANCO ECUATORIANO DE LA VIVIENDA</v>
          </cell>
          <cell r="AB12">
            <v>5.7025106830084233</v>
          </cell>
          <cell r="AD12">
            <v>5.7851963727228011</v>
          </cell>
          <cell r="AF12" t="str">
            <v>BANCO ECUATORIANO DE LA VIVIENDA</v>
          </cell>
          <cell r="AH12">
            <v>3.2880342155654523</v>
          </cell>
          <cell r="AJ12">
            <v>2.911784041366233</v>
          </cell>
          <cell r="AL12" t="str">
            <v>BANCO ECUATORIANO DE LA VIVIENDA</v>
          </cell>
          <cell r="AN12">
            <v>6.0559045051758069</v>
          </cell>
          <cell r="AP12">
            <v>5.5324654232631971</v>
          </cell>
          <cell r="AR12" t="str">
            <v>BANCO ECUATORIANO DE LA VIVIENDA</v>
          </cell>
          <cell r="AT12">
            <v>4.6469964892030822</v>
          </cell>
          <cell r="AV12">
            <v>4.6469964892030822</v>
          </cell>
          <cell r="AX12" t="str">
            <v>BANCO ECUATORIANO DE LA VIVIENDA</v>
          </cell>
          <cell r="AZ12">
            <v>-3.9910087598866002</v>
          </cell>
          <cell r="BB12">
            <v>-6.2331326199354491</v>
          </cell>
        </row>
        <row r="13">
          <cell r="B13" t="str">
            <v>BANCO DEL ESTADO</v>
          </cell>
          <cell r="D13">
            <v>24.854609812825782</v>
          </cell>
          <cell r="F13">
            <v>25.602683309799808</v>
          </cell>
          <cell r="H13" t="str">
            <v>BANCO DEL ESTADO</v>
          </cell>
          <cell r="J13">
            <v>25.125532241271969</v>
          </cell>
          <cell r="L13">
            <v>26.070772055401072</v>
          </cell>
          <cell r="N13" t="str">
            <v>BANCO DEL ESTADO</v>
          </cell>
          <cell r="P13">
            <v>23.6868417386186</v>
          </cell>
          <cell r="R13">
            <v>23.825416237493442</v>
          </cell>
          <cell r="T13" t="str">
            <v>BANCO DEL ESTADO</v>
          </cell>
          <cell r="V13">
            <v>18.809794611103491</v>
          </cell>
          <cell r="X13">
            <v>10.412940798376253</v>
          </cell>
          <cell r="Z13" t="str">
            <v>BANCO DEL ESTADO</v>
          </cell>
          <cell r="AB13">
            <v>29.574780681560963</v>
          </cell>
          <cell r="AD13">
            <v>29.104321580930886</v>
          </cell>
          <cell r="AF13" t="str">
            <v>BANCO DEL ESTADO</v>
          </cell>
          <cell r="AH13">
            <v>0</v>
          </cell>
          <cell r="AJ13">
            <v>0</v>
          </cell>
          <cell r="AL13" t="str">
            <v>BANCO DEL ESTADO</v>
          </cell>
          <cell r="AN13">
            <v>20.744594086447517</v>
          </cell>
          <cell r="AP13">
            <v>21.003345315189133</v>
          </cell>
          <cell r="AR13" t="str">
            <v>BANCO DEL ESTADO</v>
          </cell>
          <cell r="AT13">
            <v>32.90883963935714</v>
          </cell>
          <cell r="AV13">
            <v>32.90883963935714</v>
          </cell>
          <cell r="AX13" t="str">
            <v>BANCO DEL ESTADO</v>
          </cell>
          <cell r="AZ13">
            <v>37.255105796362173</v>
          </cell>
          <cell r="BB13">
            <v>41.735759127752651</v>
          </cell>
        </row>
        <row r="14">
          <cell r="B14" t="str">
            <v>CORPORACION FINANCIERA NACIONAL</v>
          </cell>
          <cell r="D14">
            <v>42.825730388973462</v>
          </cell>
          <cell r="F14">
            <v>41.408541634667351</v>
          </cell>
          <cell r="H14" t="str">
            <v>CORPORACION FINANCIERA NACIONAL</v>
          </cell>
          <cell r="J14">
            <v>39.613905491616784</v>
          </cell>
          <cell r="L14">
            <v>37.607624160261054</v>
          </cell>
          <cell r="N14" t="str">
            <v>CORPORACION FINANCIERA NACIONAL</v>
          </cell>
          <cell r="P14">
            <v>47.532161933721596</v>
          </cell>
          <cell r="R14">
            <v>47.45130219372767</v>
          </cell>
          <cell r="T14" t="str">
            <v>CORPORACION FINANCIERA NACIONAL</v>
          </cell>
          <cell r="V14">
            <v>49.677595753184775</v>
          </cell>
          <cell r="X14">
            <v>25.288005145562149</v>
          </cell>
          <cell r="Z14" t="str">
            <v>CORPORACION FINANCIERA NACIONAL</v>
          </cell>
          <cell r="AB14">
            <v>36.220213935820297</v>
          </cell>
          <cell r="AD14">
            <v>36.720657658183676</v>
          </cell>
          <cell r="AF14" t="str">
            <v>CORPORACION FINANCIERA NACIONAL</v>
          </cell>
          <cell r="AH14">
            <v>0</v>
          </cell>
          <cell r="AJ14">
            <v>0</v>
          </cell>
          <cell r="AL14" t="str">
            <v>CORPORACION FINANCIERA NACIONAL</v>
          </cell>
          <cell r="AN14">
            <v>59.677065227492946</v>
          </cell>
          <cell r="AP14">
            <v>58.097490652115383</v>
          </cell>
          <cell r="AR14" t="str">
            <v>CORPORACION FINANCIERA NACIONAL</v>
          </cell>
          <cell r="AT14">
            <v>39.836603523840282</v>
          </cell>
          <cell r="AV14">
            <v>39.836603523840282</v>
          </cell>
          <cell r="AX14" t="str">
            <v>CORPORACION FINANCIERA NACIONAL</v>
          </cell>
          <cell r="AZ14">
            <v>79.294352880254223</v>
          </cell>
          <cell r="BB14">
            <v>77.17177673983484</v>
          </cell>
        </row>
        <row r="15">
          <cell r="B15" t="str">
            <v>BANCO NACIONAL DE FOMENTO</v>
          </cell>
          <cell r="D15">
            <v>27.112345458010189</v>
          </cell>
          <cell r="F15">
            <v>28.153270223703281</v>
          </cell>
          <cell r="H15" t="str">
            <v>BANCO NACIONAL DE FOMENTO</v>
          </cell>
          <cell r="J15">
            <v>29.609835579951003</v>
          </cell>
          <cell r="L15">
            <v>31.174242536689366</v>
          </cell>
          <cell r="N15" t="str">
            <v>BANCO NACIONAL DE FOMENTO</v>
          </cell>
          <cell r="P15">
            <v>24.016077302958404</v>
          </cell>
          <cell r="R15">
            <v>23.974388870803747</v>
          </cell>
          <cell r="T15" t="str">
            <v>BANCO NACIONAL DE FOMENTO</v>
          </cell>
          <cell r="V15">
            <v>28.759617488524786</v>
          </cell>
          <cell r="X15">
            <v>16.813738049984753</v>
          </cell>
          <cell r="Z15" t="str">
            <v>BANCO NACIONAL DE FOMENTO</v>
          </cell>
          <cell r="AB15">
            <v>28.502494699610299</v>
          </cell>
          <cell r="AD15">
            <v>28.389824388162623</v>
          </cell>
          <cell r="AF15" t="str">
            <v>BANCO NACIONAL DE FOMENTO</v>
          </cell>
          <cell r="AH15">
            <v>96.71196578443454</v>
          </cell>
          <cell r="AJ15">
            <v>97.088215958633768</v>
          </cell>
          <cell r="AL15" t="str">
            <v>BANCO NACIONAL DE FOMENTO</v>
          </cell>
          <cell r="AN15">
            <v>13.522436180883734</v>
          </cell>
          <cell r="AP15">
            <v>15.366698609432284</v>
          </cell>
          <cell r="AR15" t="str">
            <v>BANCO NACIONAL DE FOMENTO</v>
          </cell>
          <cell r="AT15">
            <v>22.607560347599502</v>
          </cell>
          <cell r="AV15">
            <v>22.607560347599502</v>
          </cell>
          <cell r="AX15" t="str">
            <v>BANCO NACIONAL DE FOMENTO</v>
          </cell>
          <cell r="AZ15">
            <v>-12.558449916729799</v>
          </cell>
          <cell r="BB15">
            <v>-12.674403247652045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CR1422"/>
  <sheetViews>
    <sheetView showGridLines="0" tabSelected="1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RowHeight="14.25" x14ac:dyDescent="0.2"/>
  <cols>
    <col min="1" max="1" width="5.5703125" style="50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 x14ac:dyDescent="0.25">
      <c r="A4" s="1"/>
      <c r="B4" s="8">
        <v>41182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3" customFormat="1" ht="15" x14ac:dyDescent="0.25">
      <c r="A6" s="1"/>
      <c r="B6" s="12"/>
      <c r="C6" s="165">
        <f>+MONTH(B4)</f>
        <v>9</v>
      </c>
      <c r="D6" s="13">
        <v>1</v>
      </c>
      <c r="E6" s="13">
        <v>2</v>
      </c>
      <c r="F6" s="13">
        <v>3</v>
      </c>
      <c r="G6" s="13">
        <v>4</v>
      </c>
      <c r="H6" s="13">
        <v>5</v>
      </c>
      <c r="I6" s="13">
        <v>6</v>
      </c>
      <c r="J6" s="13">
        <v>7</v>
      </c>
      <c r="K6" s="13">
        <v>8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</row>
    <row r="7" spans="1:96" s="19" customFormat="1" ht="45" x14ac:dyDescent="0.25">
      <c r="A7" s="15">
        <v>1</v>
      </c>
      <c r="B7" s="16" t="s">
        <v>3</v>
      </c>
      <c r="C7" s="17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18" t="s">
        <v>12</v>
      </c>
    </row>
    <row r="8" spans="1:96" x14ac:dyDescent="0.2">
      <c r="A8" s="15">
        <v>2</v>
      </c>
      <c r="B8" s="20">
        <v>1</v>
      </c>
      <c r="C8" s="21" t="s">
        <v>13</v>
      </c>
      <c r="D8" s="22"/>
      <c r="E8" s="22"/>
      <c r="F8" s="22"/>
      <c r="G8" s="22"/>
      <c r="H8" s="22"/>
      <c r="I8" s="22"/>
      <c r="J8" s="22"/>
      <c r="K8" s="22"/>
    </row>
    <row r="9" spans="1:96" x14ac:dyDescent="0.2">
      <c r="A9" s="15">
        <v>3</v>
      </c>
      <c r="B9" s="20">
        <v>11</v>
      </c>
      <c r="C9" s="21" t="s">
        <v>14</v>
      </c>
      <c r="D9" s="22">
        <v>20338.50459</v>
      </c>
      <c r="E9" s="22">
        <f>+D9</f>
        <v>20338.50459</v>
      </c>
      <c r="F9" s="22">
        <v>174734.24729999999</v>
      </c>
      <c r="G9" s="22">
        <v>131056.78765</v>
      </c>
      <c r="H9" s="22">
        <v>28493.401320000001</v>
      </c>
      <c r="I9" s="22">
        <f>+SUM(F9:H9)</f>
        <v>334284.43627000001</v>
      </c>
      <c r="J9" s="22">
        <f>+E9+I9</f>
        <v>354622.94086000003</v>
      </c>
      <c r="K9" s="22">
        <v>122183.12802</v>
      </c>
    </row>
    <row r="10" spans="1:96" x14ac:dyDescent="0.2">
      <c r="A10" s="15">
        <v>4</v>
      </c>
      <c r="B10" s="20">
        <v>1101</v>
      </c>
      <c r="C10" s="21" t="s">
        <v>15</v>
      </c>
      <c r="D10" s="22">
        <v>136.69560000000001</v>
      </c>
      <c r="E10" s="22">
        <f t="shared" ref="E10:E73" si="0">+D10</f>
        <v>136.69560000000001</v>
      </c>
      <c r="F10" s="22">
        <v>2.7850000000000001</v>
      </c>
      <c r="G10" s="22">
        <v>16034.4539</v>
      </c>
      <c r="H10" s="22">
        <v>32.73433</v>
      </c>
      <c r="I10" s="22">
        <f t="shared" ref="I10:I73" si="1">+SUM(F10:H10)</f>
        <v>16069.97323</v>
      </c>
      <c r="J10" s="22">
        <f t="shared" ref="J10:J73" si="2">+E10+I10</f>
        <v>16206.668829999999</v>
      </c>
      <c r="K10" s="22">
        <v>0</v>
      </c>
    </row>
    <row r="11" spans="1:96" x14ac:dyDescent="0.2">
      <c r="A11" s="15">
        <v>5</v>
      </c>
      <c r="B11" s="20">
        <v>110105</v>
      </c>
      <c r="C11" s="21" t="s">
        <v>16</v>
      </c>
      <c r="D11" s="22">
        <v>133.03059999999999</v>
      </c>
      <c r="E11" s="22">
        <f t="shared" si="0"/>
        <v>133.03059999999999</v>
      </c>
      <c r="F11" s="22">
        <v>0.185</v>
      </c>
      <c r="G11" s="22">
        <v>16024.024810000001</v>
      </c>
      <c r="H11" s="22">
        <v>25.514330000000001</v>
      </c>
      <c r="I11" s="22">
        <f t="shared" si="1"/>
        <v>16049.72414</v>
      </c>
      <c r="J11" s="22">
        <f t="shared" si="2"/>
        <v>16182.75474</v>
      </c>
      <c r="K11" s="22">
        <v>0</v>
      </c>
    </row>
    <row r="12" spans="1:96" x14ac:dyDescent="0.2">
      <c r="A12" s="15">
        <v>6</v>
      </c>
      <c r="B12" s="20">
        <v>110110</v>
      </c>
      <c r="C12" s="21" t="s">
        <v>17</v>
      </c>
      <c r="D12" s="22">
        <v>3.665</v>
      </c>
      <c r="E12" s="22">
        <f t="shared" si="0"/>
        <v>3.665</v>
      </c>
      <c r="F12" s="22">
        <v>2.6</v>
      </c>
      <c r="G12" s="22">
        <v>10.42909</v>
      </c>
      <c r="H12" s="22">
        <v>7.22</v>
      </c>
      <c r="I12" s="22">
        <f t="shared" si="1"/>
        <v>20.249089999999999</v>
      </c>
      <c r="J12" s="22">
        <f t="shared" si="2"/>
        <v>23.914089999999998</v>
      </c>
      <c r="K12" s="22">
        <v>0</v>
      </c>
    </row>
    <row r="13" spans="1:96" x14ac:dyDescent="0.2">
      <c r="A13" s="15">
        <v>7</v>
      </c>
      <c r="B13" s="20">
        <v>1102</v>
      </c>
      <c r="C13" s="21" t="s">
        <v>18</v>
      </c>
      <c r="D13" s="22">
        <v>19833.320390000001</v>
      </c>
      <c r="E13" s="22">
        <f t="shared" si="0"/>
        <v>19833.320390000001</v>
      </c>
      <c r="F13" s="22">
        <v>0</v>
      </c>
      <c r="G13" s="22">
        <v>76460.049029999995</v>
      </c>
      <c r="H13" s="22">
        <v>10.03609</v>
      </c>
      <c r="I13" s="22">
        <f t="shared" si="1"/>
        <v>76470.085119999989</v>
      </c>
      <c r="J13" s="22">
        <f t="shared" si="2"/>
        <v>96303.405509999982</v>
      </c>
      <c r="K13" s="22"/>
    </row>
    <row r="14" spans="1:96" x14ac:dyDescent="0.2">
      <c r="A14" s="15">
        <v>8</v>
      </c>
      <c r="B14" s="20">
        <v>110205</v>
      </c>
      <c r="C14" s="21" t="s">
        <v>19</v>
      </c>
      <c r="D14" s="22">
        <v>15338.851129999999</v>
      </c>
      <c r="E14" s="22">
        <f t="shared" si="0"/>
        <v>15338.851129999999</v>
      </c>
      <c r="F14" s="22">
        <v>0</v>
      </c>
      <c r="G14" s="22">
        <v>76460.049029999995</v>
      </c>
      <c r="H14" s="22">
        <v>10.03609</v>
      </c>
      <c r="I14" s="22">
        <f t="shared" si="1"/>
        <v>76470.085119999989</v>
      </c>
      <c r="J14" s="22">
        <f t="shared" si="2"/>
        <v>91808.936249999984</v>
      </c>
      <c r="K14" s="22"/>
    </row>
    <row r="15" spans="1:96" x14ac:dyDescent="0.2">
      <c r="A15" s="15">
        <v>9</v>
      </c>
      <c r="B15" s="20">
        <v>110210</v>
      </c>
      <c r="C15" s="21" t="s">
        <v>20</v>
      </c>
      <c r="D15" s="22">
        <v>4494.4692599999998</v>
      </c>
      <c r="E15" s="22">
        <f t="shared" si="0"/>
        <v>4494.4692599999998</v>
      </c>
      <c r="F15" s="22">
        <v>0</v>
      </c>
      <c r="G15" s="22"/>
      <c r="H15" s="22"/>
      <c r="I15" s="22">
        <f t="shared" si="1"/>
        <v>0</v>
      </c>
      <c r="J15" s="22">
        <f t="shared" si="2"/>
        <v>4494.4692599999998</v>
      </c>
      <c r="K15" s="22"/>
    </row>
    <row r="16" spans="1:96" x14ac:dyDescent="0.2">
      <c r="A16" s="15">
        <v>10</v>
      </c>
      <c r="B16" s="20">
        <v>110215</v>
      </c>
      <c r="C16" s="21" t="s">
        <v>21</v>
      </c>
      <c r="D16" s="22">
        <v>0</v>
      </c>
      <c r="E16" s="22">
        <f t="shared" si="0"/>
        <v>0</v>
      </c>
      <c r="F16" s="22">
        <v>0</v>
      </c>
      <c r="G16" s="22"/>
      <c r="H16" s="22"/>
      <c r="I16" s="22">
        <f t="shared" si="1"/>
        <v>0</v>
      </c>
      <c r="J16" s="22">
        <f t="shared" si="2"/>
        <v>0</v>
      </c>
      <c r="K16" s="22"/>
    </row>
    <row r="17" spans="1:11" x14ac:dyDescent="0.2">
      <c r="A17" s="15">
        <v>11</v>
      </c>
      <c r="B17" s="20">
        <v>1103</v>
      </c>
      <c r="C17" s="21" t="s">
        <v>22</v>
      </c>
      <c r="D17" s="22">
        <v>28.581109999999999</v>
      </c>
      <c r="E17" s="22">
        <f t="shared" si="0"/>
        <v>28.581109999999999</v>
      </c>
      <c r="F17" s="22">
        <v>174731.46230000001</v>
      </c>
      <c r="G17" s="22">
        <v>36410.580070000004</v>
      </c>
      <c r="H17" s="22">
        <v>21303.198619999999</v>
      </c>
      <c r="I17" s="22">
        <f t="shared" si="1"/>
        <v>232445.24099000002</v>
      </c>
      <c r="J17" s="22">
        <f t="shared" si="2"/>
        <v>232473.82210000002</v>
      </c>
      <c r="K17" s="22">
        <v>122183.12802</v>
      </c>
    </row>
    <row r="18" spans="1:11" x14ac:dyDescent="0.2">
      <c r="A18" s="15">
        <v>12</v>
      </c>
      <c r="B18" s="20">
        <v>110305</v>
      </c>
      <c r="C18" s="21" t="s">
        <v>19</v>
      </c>
      <c r="D18" s="22"/>
      <c r="E18" s="22">
        <f t="shared" si="0"/>
        <v>0</v>
      </c>
      <c r="F18" s="22">
        <v>174729.56401999999</v>
      </c>
      <c r="G18" s="22">
        <v>36356.520190000003</v>
      </c>
      <c r="H18" s="22">
        <v>4597.6312799999996</v>
      </c>
      <c r="I18" s="22">
        <f t="shared" si="1"/>
        <v>215683.71549</v>
      </c>
      <c r="J18" s="22">
        <f t="shared" si="2"/>
        <v>215683.71549</v>
      </c>
      <c r="K18" s="22">
        <v>25445.53226</v>
      </c>
    </row>
    <row r="19" spans="1:11" x14ac:dyDescent="0.2">
      <c r="A19" s="15">
        <v>13</v>
      </c>
      <c r="B19" s="20">
        <v>110310</v>
      </c>
      <c r="C19" s="21" t="s">
        <v>23</v>
      </c>
      <c r="D19" s="22">
        <v>28.581109999999999</v>
      </c>
      <c r="E19" s="22">
        <f t="shared" si="0"/>
        <v>28.581109999999999</v>
      </c>
      <c r="F19" s="22">
        <v>1.89828</v>
      </c>
      <c r="G19" s="22">
        <v>54.05988</v>
      </c>
      <c r="H19" s="22">
        <v>16445.58626</v>
      </c>
      <c r="I19" s="22">
        <f t="shared" si="1"/>
        <v>16501.544419999998</v>
      </c>
      <c r="J19" s="22">
        <f t="shared" si="2"/>
        <v>16530.125529999998</v>
      </c>
      <c r="K19" s="22">
        <v>96737.595759999997</v>
      </c>
    </row>
    <row r="20" spans="1:11" x14ac:dyDescent="0.2">
      <c r="A20" s="15">
        <v>14</v>
      </c>
      <c r="B20" s="20">
        <v>110315</v>
      </c>
      <c r="C20" s="21" t="s">
        <v>24</v>
      </c>
      <c r="D20" s="22"/>
      <c r="E20" s="22">
        <f t="shared" si="0"/>
        <v>0</v>
      </c>
      <c r="F20" s="22"/>
      <c r="G20" s="22">
        <v>0</v>
      </c>
      <c r="H20" s="22">
        <v>259.98108000000002</v>
      </c>
      <c r="I20" s="22">
        <f t="shared" si="1"/>
        <v>259.98108000000002</v>
      </c>
      <c r="J20" s="22">
        <f t="shared" si="2"/>
        <v>259.98108000000002</v>
      </c>
      <c r="K20" s="22"/>
    </row>
    <row r="21" spans="1:11" x14ac:dyDescent="0.2">
      <c r="A21" s="15">
        <v>15</v>
      </c>
      <c r="B21" s="20">
        <v>1104</v>
      </c>
      <c r="C21" s="21" t="s">
        <v>25</v>
      </c>
      <c r="D21" s="22">
        <v>339.90749</v>
      </c>
      <c r="E21" s="22">
        <f t="shared" si="0"/>
        <v>339.90749</v>
      </c>
      <c r="F21" s="22">
        <v>0</v>
      </c>
      <c r="G21" s="22">
        <v>1327.4398200000001</v>
      </c>
      <c r="H21" s="22">
        <v>7147.43228</v>
      </c>
      <c r="I21" s="22">
        <f t="shared" si="1"/>
        <v>8474.8721000000005</v>
      </c>
      <c r="J21" s="22">
        <f t="shared" si="2"/>
        <v>8814.7795900000001</v>
      </c>
      <c r="K21" s="22">
        <v>0</v>
      </c>
    </row>
    <row r="22" spans="1:11" x14ac:dyDescent="0.2">
      <c r="A22" s="15">
        <v>16</v>
      </c>
      <c r="B22" s="20">
        <v>1105</v>
      </c>
      <c r="C22" s="21" t="s">
        <v>26</v>
      </c>
      <c r="D22" s="22">
        <v>0</v>
      </c>
      <c r="E22" s="22">
        <f t="shared" si="0"/>
        <v>0</v>
      </c>
      <c r="F22" s="22">
        <v>0</v>
      </c>
      <c r="G22" s="22">
        <v>824.26482999999996</v>
      </c>
      <c r="H22" s="22">
        <v>0</v>
      </c>
      <c r="I22" s="22">
        <f t="shared" si="1"/>
        <v>824.26482999999996</v>
      </c>
      <c r="J22" s="22">
        <f t="shared" si="2"/>
        <v>824.26482999999996</v>
      </c>
      <c r="K22" s="22">
        <v>0</v>
      </c>
    </row>
    <row r="23" spans="1:11" x14ac:dyDescent="0.2">
      <c r="A23" s="15">
        <v>17</v>
      </c>
      <c r="B23" s="20">
        <v>110505</v>
      </c>
      <c r="C23" s="21" t="s">
        <v>27</v>
      </c>
      <c r="D23" s="22">
        <v>0</v>
      </c>
      <c r="E23" s="22">
        <f t="shared" si="0"/>
        <v>0</v>
      </c>
      <c r="F23" s="22">
        <v>0</v>
      </c>
      <c r="G23" s="22">
        <v>824.26482999999996</v>
      </c>
      <c r="H23" s="22">
        <v>0</v>
      </c>
      <c r="I23" s="22">
        <f t="shared" si="1"/>
        <v>824.26482999999996</v>
      </c>
      <c r="J23" s="22">
        <f t="shared" si="2"/>
        <v>824.26482999999996</v>
      </c>
      <c r="K23" s="22">
        <v>0</v>
      </c>
    </row>
    <row r="24" spans="1:11" x14ac:dyDescent="0.2">
      <c r="A24" s="15">
        <v>18</v>
      </c>
      <c r="B24" s="20">
        <v>110510</v>
      </c>
      <c r="C24" s="21" t="s">
        <v>28</v>
      </c>
      <c r="D24" s="22">
        <v>0</v>
      </c>
      <c r="E24" s="22">
        <f t="shared" si="0"/>
        <v>0</v>
      </c>
      <c r="F24" s="22">
        <v>0</v>
      </c>
      <c r="G24" s="22">
        <v>0</v>
      </c>
      <c r="H24" s="22">
        <v>0</v>
      </c>
      <c r="I24" s="22">
        <f t="shared" si="1"/>
        <v>0</v>
      </c>
      <c r="J24" s="22">
        <f t="shared" si="2"/>
        <v>0</v>
      </c>
      <c r="K24" s="22">
        <v>0</v>
      </c>
    </row>
    <row r="25" spans="1:11" x14ac:dyDescent="0.2">
      <c r="A25" s="15">
        <v>19</v>
      </c>
      <c r="B25" s="20">
        <v>12</v>
      </c>
      <c r="C25" s="21" t="s">
        <v>29</v>
      </c>
      <c r="D25" s="22">
        <v>0</v>
      </c>
      <c r="E25" s="22">
        <f t="shared" si="0"/>
        <v>0</v>
      </c>
      <c r="F25" s="22">
        <v>0</v>
      </c>
      <c r="G25" s="22">
        <v>0</v>
      </c>
      <c r="H25" s="22">
        <v>0</v>
      </c>
      <c r="I25" s="22">
        <f t="shared" si="1"/>
        <v>0</v>
      </c>
      <c r="J25" s="22">
        <f t="shared" si="2"/>
        <v>0</v>
      </c>
      <c r="K25" s="22">
        <v>0</v>
      </c>
    </row>
    <row r="26" spans="1:11" x14ac:dyDescent="0.2">
      <c r="A26" s="15">
        <v>20</v>
      </c>
      <c r="B26" s="20">
        <v>1201</v>
      </c>
      <c r="C26" s="21" t="s">
        <v>30</v>
      </c>
      <c r="D26" s="22">
        <v>0</v>
      </c>
      <c r="E26" s="22">
        <f t="shared" si="0"/>
        <v>0</v>
      </c>
      <c r="F26" s="22">
        <v>0</v>
      </c>
      <c r="G26" s="22">
        <v>0</v>
      </c>
      <c r="H26" s="22">
        <v>0</v>
      </c>
      <c r="I26" s="22">
        <f t="shared" si="1"/>
        <v>0</v>
      </c>
      <c r="J26" s="22">
        <f t="shared" si="2"/>
        <v>0</v>
      </c>
      <c r="K26" s="22"/>
    </row>
    <row r="27" spans="1:11" x14ac:dyDescent="0.2">
      <c r="A27" s="15">
        <v>21</v>
      </c>
      <c r="B27" s="20">
        <v>120105</v>
      </c>
      <c r="C27" s="21" t="s">
        <v>31</v>
      </c>
      <c r="D27" s="22">
        <v>0</v>
      </c>
      <c r="E27" s="22">
        <f t="shared" si="0"/>
        <v>0</v>
      </c>
      <c r="F27" s="22">
        <v>0</v>
      </c>
      <c r="G27" s="22">
        <v>0</v>
      </c>
      <c r="H27" s="22">
        <v>0</v>
      </c>
      <c r="I27" s="22">
        <f t="shared" si="1"/>
        <v>0</v>
      </c>
      <c r="J27" s="22">
        <f t="shared" si="2"/>
        <v>0</v>
      </c>
      <c r="K27" s="22"/>
    </row>
    <row r="28" spans="1:11" x14ac:dyDescent="0.2">
      <c r="A28" s="15">
        <v>22</v>
      </c>
      <c r="B28" s="20">
        <v>120110</v>
      </c>
      <c r="C28" s="21" t="s">
        <v>32</v>
      </c>
      <c r="D28" s="22">
        <v>0</v>
      </c>
      <c r="E28" s="22">
        <f t="shared" si="0"/>
        <v>0</v>
      </c>
      <c r="F28" s="22">
        <v>0</v>
      </c>
      <c r="G28" s="22">
        <v>0</v>
      </c>
      <c r="H28" s="22">
        <v>0</v>
      </c>
      <c r="I28" s="22">
        <f t="shared" si="1"/>
        <v>0</v>
      </c>
      <c r="J28" s="22">
        <f t="shared" si="2"/>
        <v>0</v>
      </c>
      <c r="K28" s="22"/>
    </row>
    <row r="29" spans="1:11" x14ac:dyDescent="0.2">
      <c r="A29" s="15">
        <v>23</v>
      </c>
      <c r="B29" s="20">
        <v>1202</v>
      </c>
      <c r="C29" s="21" t="s">
        <v>33</v>
      </c>
      <c r="D29" s="22">
        <v>0</v>
      </c>
      <c r="E29" s="22">
        <f t="shared" si="0"/>
        <v>0</v>
      </c>
      <c r="F29" s="22">
        <v>0</v>
      </c>
      <c r="G29" s="22">
        <v>0</v>
      </c>
      <c r="H29" s="22">
        <v>0</v>
      </c>
      <c r="I29" s="22">
        <f t="shared" si="1"/>
        <v>0</v>
      </c>
      <c r="J29" s="22">
        <f t="shared" si="2"/>
        <v>0</v>
      </c>
      <c r="K29" s="22">
        <v>0</v>
      </c>
    </row>
    <row r="30" spans="1:11" x14ac:dyDescent="0.2">
      <c r="A30" s="15">
        <v>24</v>
      </c>
      <c r="B30" s="20">
        <v>120205</v>
      </c>
      <c r="C30" s="21" t="s">
        <v>34</v>
      </c>
      <c r="D30" s="22">
        <v>0</v>
      </c>
      <c r="E30" s="22">
        <f t="shared" si="0"/>
        <v>0</v>
      </c>
      <c r="F30" s="22">
        <v>0</v>
      </c>
      <c r="G30" s="22">
        <v>0</v>
      </c>
      <c r="H30" s="22">
        <v>0</v>
      </c>
      <c r="I30" s="22">
        <f t="shared" si="1"/>
        <v>0</v>
      </c>
      <c r="J30" s="22">
        <f t="shared" si="2"/>
        <v>0</v>
      </c>
      <c r="K30" s="22">
        <v>0</v>
      </c>
    </row>
    <row r="31" spans="1:11" x14ac:dyDescent="0.2">
      <c r="A31" s="15">
        <v>25</v>
      </c>
      <c r="B31" s="20">
        <v>120210</v>
      </c>
      <c r="C31" s="21" t="s">
        <v>31</v>
      </c>
      <c r="D31" s="22">
        <v>0</v>
      </c>
      <c r="E31" s="22">
        <f t="shared" si="0"/>
        <v>0</v>
      </c>
      <c r="F31" s="22">
        <v>0</v>
      </c>
      <c r="G31" s="22">
        <v>0</v>
      </c>
      <c r="H31" s="22">
        <v>0</v>
      </c>
      <c r="I31" s="22">
        <f t="shared" si="1"/>
        <v>0</v>
      </c>
      <c r="J31" s="22">
        <f t="shared" si="2"/>
        <v>0</v>
      </c>
      <c r="K31" s="22">
        <v>0</v>
      </c>
    </row>
    <row r="32" spans="1:11" x14ac:dyDescent="0.2">
      <c r="A32" s="15">
        <v>26</v>
      </c>
      <c r="B32" s="20">
        <v>120215</v>
      </c>
      <c r="C32" s="21" t="s">
        <v>32</v>
      </c>
      <c r="D32" s="22">
        <v>0</v>
      </c>
      <c r="E32" s="22">
        <f t="shared" si="0"/>
        <v>0</v>
      </c>
      <c r="F32" s="22">
        <v>0</v>
      </c>
      <c r="G32" s="22">
        <v>0</v>
      </c>
      <c r="H32" s="22">
        <v>0</v>
      </c>
      <c r="I32" s="22">
        <f t="shared" si="1"/>
        <v>0</v>
      </c>
      <c r="J32" s="22">
        <f t="shared" si="2"/>
        <v>0</v>
      </c>
      <c r="K32" s="22">
        <v>0</v>
      </c>
    </row>
    <row r="33" spans="1:11" x14ac:dyDescent="0.2">
      <c r="A33" s="15">
        <v>27</v>
      </c>
      <c r="B33" s="20">
        <v>1299</v>
      </c>
      <c r="C33" s="21" t="s">
        <v>35</v>
      </c>
      <c r="D33" s="22">
        <v>0</v>
      </c>
      <c r="E33" s="22">
        <f t="shared" si="0"/>
        <v>0</v>
      </c>
      <c r="F33" s="22">
        <v>0</v>
      </c>
      <c r="G33" s="22">
        <v>0</v>
      </c>
      <c r="H33" s="22">
        <v>0</v>
      </c>
      <c r="I33" s="22">
        <f t="shared" si="1"/>
        <v>0</v>
      </c>
      <c r="J33" s="22">
        <f t="shared" si="2"/>
        <v>0</v>
      </c>
      <c r="K33" s="22">
        <v>0</v>
      </c>
    </row>
    <row r="34" spans="1:11" x14ac:dyDescent="0.2">
      <c r="A34" s="15">
        <v>28</v>
      </c>
      <c r="B34" s="20">
        <v>13</v>
      </c>
      <c r="C34" s="21" t="s">
        <v>36</v>
      </c>
      <c r="D34" s="22">
        <v>25238.107919999999</v>
      </c>
      <c r="E34" s="22">
        <f t="shared" si="0"/>
        <v>25238.107919999999</v>
      </c>
      <c r="F34" s="22">
        <v>179922.13545</v>
      </c>
      <c r="G34" s="22">
        <v>289925.89643000002</v>
      </c>
      <c r="H34" s="22">
        <v>436885.92852999998</v>
      </c>
      <c r="I34" s="22">
        <f t="shared" si="1"/>
        <v>906733.96041000006</v>
      </c>
      <c r="J34" s="22">
        <f t="shared" si="2"/>
        <v>931972.06833000004</v>
      </c>
      <c r="K34" s="22">
        <v>0</v>
      </c>
    </row>
    <row r="35" spans="1:11" x14ac:dyDescent="0.2">
      <c r="A35" s="15">
        <v>29</v>
      </c>
      <c r="B35" s="20">
        <v>1301</v>
      </c>
      <c r="C35" s="21" t="s">
        <v>37</v>
      </c>
      <c r="D35" s="22">
        <v>0</v>
      </c>
      <c r="E35" s="22">
        <f t="shared" si="0"/>
        <v>0</v>
      </c>
      <c r="F35" s="22">
        <v>0</v>
      </c>
      <c r="G35" s="22">
        <v>0</v>
      </c>
      <c r="H35" s="22">
        <v>0</v>
      </c>
      <c r="I35" s="22">
        <f t="shared" si="1"/>
        <v>0</v>
      </c>
      <c r="J35" s="22">
        <f t="shared" si="2"/>
        <v>0</v>
      </c>
      <c r="K35" s="22">
        <v>0</v>
      </c>
    </row>
    <row r="36" spans="1:11" x14ac:dyDescent="0.2">
      <c r="A36" s="15">
        <v>30</v>
      </c>
      <c r="B36" s="20">
        <v>130105</v>
      </c>
      <c r="C36" s="21" t="s">
        <v>38</v>
      </c>
      <c r="D36" s="22">
        <v>0</v>
      </c>
      <c r="E36" s="22">
        <f t="shared" si="0"/>
        <v>0</v>
      </c>
      <c r="F36" s="22">
        <v>0</v>
      </c>
      <c r="G36" s="22">
        <v>0</v>
      </c>
      <c r="H36" s="22">
        <v>0</v>
      </c>
      <c r="I36" s="22">
        <f t="shared" si="1"/>
        <v>0</v>
      </c>
      <c r="J36" s="22">
        <f t="shared" si="2"/>
        <v>0</v>
      </c>
      <c r="K36" s="22">
        <v>0</v>
      </c>
    </row>
    <row r="37" spans="1:11" x14ac:dyDescent="0.2">
      <c r="A37" s="15">
        <v>31</v>
      </c>
      <c r="B37" s="20">
        <v>130110</v>
      </c>
      <c r="C37" s="21" t="s">
        <v>39</v>
      </c>
      <c r="D37" s="22">
        <v>0</v>
      </c>
      <c r="E37" s="22">
        <f t="shared" si="0"/>
        <v>0</v>
      </c>
      <c r="F37" s="22">
        <v>0</v>
      </c>
      <c r="G37" s="22">
        <v>0</v>
      </c>
      <c r="H37" s="22">
        <v>0</v>
      </c>
      <c r="I37" s="22">
        <f t="shared" si="1"/>
        <v>0</v>
      </c>
      <c r="J37" s="22">
        <f t="shared" si="2"/>
        <v>0</v>
      </c>
      <c r="K37" s="22">
        <v>0</v>
      </c>
    </row>
    <row r="38" spans="1:11" x14ac:dyDescent="0.2">
      <c r="A38" s="15">
        <v>32</v>
      </c>
      <c r="B38" s="20">
        <v>130115</v>
      </c>
      <c r="C38" s="21" t="s">
        <v>40</v>
      </c>
      <c r="D38" s="22">
        <v>0</v>
      </c>
      <c r="E38" s="22">
        <f t="shared" si="0"/>
        <v>0</v>
      </c>
      <c r="F38" s="22">
        <v>0</v>
      </c>
      <c r="G38" s="22">
        <v>0</v>
      </c>
      <c r="H38" s="22">
        <v>0</v>
      </c>
      <c r="I38" s="22">
        <f t="shared" si="1"/>
        <v>0</v>
      </c>
      <c r="J38" s="22">
        <f t="shared" si="2"/>
        <v>0</v>
      </c>
      <c r="K38" s="22">
        <v>0</v>
      </c>
    </row>
    <row r="39" spans="1:11" x14ac:dyDescent="0.2">
      <c r="A39" s="15">
        <v>33</v>
      </c>
      <c r="B39" s="20">
        <v>130120</v>
      </c>
      <c r="C39" s="21" t="s">
        <v>41</v>
      </c>
      <c r="D39" s="22">
        <v>0</v>
      </c>
      <c r="E39" s="22">
        <f t="shared" si="0"/>
        <v>0</v>
      </c>
      <c r="F39" s="22">
        <v>0</v>
      </c>
      <c r="G39" s="22">
        <v>0</v>
      </c>
      <c r="H39" s="22">
        <v>0</v>
      </c>
      <c r="I39" s="22">
        <f t="shared" si="1"/>
        <v>0</v>
      </c>
      <c r="J39" s="22">
        <f t="shared" si="2"/>
        <v>0</v>
      </c>
      <c r="K39" s="22">
        <v>0</v>
      </c>
    </row>
    <row r="40" spans="1:11" x14ac:dyDescent="0.2">
      <c r="A40" s="15">
        <v>34</v>
      </c>
      <c r="B40" s="20">
        <v>130125</v>
      </c>
      <c r="C40" s="21" t="s">
        <v>42</v>
      </c>
      <c r="D40" s="22">
        <v>0</v>
      </c>
      <c r="E40" s="22">
        <f t="shared" si="0"/>
        <v>0</v>
      </c>
      <c r="F40" s="22">
        <v>0</v>
      </c>
      <c r="G40" s="22">
        <v>0</v>
      </c>
      <c r="H40" s="22">
        <v>0</v>
      </c>
      <c r="I40" s="22">
        <f t="shared" si="1"/>
        <v>0</v>
      </c>
      <c r="J40" s="22">
        <f t="shared" si="2"/>
        <v>0</v>
      </c>
      <c r="K40" s="22">
        <v>0</v>
      </c>
    </row>
    <row r="41" spans="1:11" x14ac:dyDescent="0.2">
      <c r="A41" s="15">
        <v>35</v>
      </c>
      <c r="B41" s="20">
        <v>1302</v>
      </c>
      <c r="C41" s="21" t="s">
        <v>43</v>
      </c>
      <c r="D41" s="22">
        <v>0</v>
      </c>
      <c r="E41" s="22">
        <f t="shared" si="0"/>
        <v>0</v>
      </c>
      <c r="F41" s="22">
        <v>0</v>
      </c>
      <c r="G41" s="22">
        <v>0</v>
      </c>
      <c r="H41" s="22">
        <v>0</v>
      </c>
      <c r="I41" s="22">
        <f t="shared" si="1"/>
        <v>0</v>
      </c>
      <c r="J41" s="22">
        <f t="shared" si="2"/>
        <v>0</v>
      </c>
      <c r="K41" s="22">
        <v>0</v>
      </c>
    </row>
    <row r="42" spans="1:11" x14ac:dyDescent="0.2">
      <c r="A42" s="15">
        <v>36</v>
      </c>
      <c r="B42" s="20">
        <v>130205</v>
      </c>
      <c r="C42" s="21" t="s">
        <v>38</v>
      </c>
      <c r="D42" s="22">
        <v>0</v>
      </c>
      <c r="E42" s="22">
        <f t="shared" si="0"/>
        <v>0</v>
      </c>
      <c r="F42" s="22">
        <v>0</v>
      </c>
      <c r="G42" s="22">
        <v>0</v>
      </c>
      <c r="H42" s="22">
        <v>0</v>
      </c>
      <c r="I42" s="22">
        <f t="shared" si="1"/>
        <v>0</v>
      </c>
      <c r="J42" s="22">
        <f t="shared" si="2"/>
        <v>0</v>
      </c>
      <c r="K42" s="22">
        <v>0</v>
      </c>
    </row>
    <row r="43" spans="1:11" x14ac:dyDescent="0.2">
      <c r="A43" s="15">
        <v>37</v>
      </c>
      <c r="B43" s="20">
        <v>130210</v>
      </c>
      <c r="C43" s="21" t="s">
        <v>39</v>
      </c>
      <c r="D43" s="22">
        <v>0</v>
      </c>
      <c r="E43" s="22">
        <f t="shared" si="0"/>
        <v>0</v>
      </c>
      <c r="F43" s="22">
        <v>0</v>
      </c>
      <c r="G43" s="22">
        <v>0</v>
      </c>
      <c r="H43" s="22">
        <v>0</v>
      </c>
      <c r="I43" s="22">
        <f t="shared" si="1"/>
        <v>0</v>
      </c>
      <c r="J43" s="22">
        <f t="shared" si="2"/>
        <v>0</v>
      </c>
      <c r="K43" s="22">
        <v>0</v>
      </c>
    </row>
    <row r="44" spans="1:11" x14ac:dyDescent="0.2">
      <c r="A44" s="15">
        <v>38</v>
      </c>
      <c r="B44" s="20">
        <v>130215</v>
      </c>
      <c r="C44" s="21" t="s">
        <v>40</v>
      </c>
      <c r="D44" s="22">
        <v>0</v>
      </c>
      <c r="E44" s="22">
        <f t="shared" si="0"/>
        <v>0</v>
      </c>
      <c r="F44" s="22">
        <v>0</v>
      </c>
      <c r="G44" s="22">
        <v>0</v>
      </c>
      <c r="H44" s="22">
        <v>0</v>
      </c>
      <c r="I44" s="22">
        <f t="shared" si="1"/>
        <v>0</v>
      </c>
      <c r="J44" s="22">
        <f t="shared" si="2"/>
        <v>0</v>
      </c>
      <c r="K44" s="22">
        <v>0</v>
      </c>
    </row>
    <row r="45" spans="1:11" x14ac:dyDescent="0.2">
      <c r="A45" s="15">
        <v>39</v>
      </c>
      <c r="B45" s="20">
        <v>130220</v>
      </c>
      <c r="C45" s="21" t="s">
        <v>41</v>
      </c>
      <c r="D45" s="22">
        <v>0</v>
      </c>
      <c r="E45" s="22">
        <f t="shared" si="0"/>
        <v>0</v>
      </c>
      <c r="F45" s="22">
        <v>0</v>
      </c>
      <c r="G45" s="22">
        <v>0</v>
      </c>
      <c r="H45" s="22">
        <v>0</v>
      </c>
      <c r="I45" s="22">
        <f t="shared" si="1"/>
        <v>0</v>
      </c>
      <c r="J45" s="22">
        <f t="shared" si="2"/>
        <v>0</v>
      </c>
      <c r="K45" s="22">
        <v>0</v>
      </c>
    </row>
    <row r="46" spans="1:11" x14ac:dyDescent="0.2">
      <c r="A46" s="15">
        <v>40</v>
      </c>
      <c r="B46" s="20">
        <v>130225</v>
      </c>
      <c r="C46" s="21" t="s">
        <v>42</v>
      </c>
      <c r="D46" s="22">
        <v>0</v>
      </c>
      <c r="E46" s="22">
        <f t="shared" si="0"/>
        <v>0</v>
      </c>
      <c r="F46" s="22">
        <v>0</v>
      </c>
      <c r="G46" s="22">
        <v>0</v>
      </c>
      <c r="H46" s="22">
        <v>0</v>
      </c>
      <c r="I46" s="22">
        <f t="shared" si="1"/>
        <v>0</v>
      </c>
      <c r="J46" s="22">
        <f t="shared" si="2"/>
        <v>0</v>
      </c>
      <c r="K46" s="22">
        <v>0</v>
      </c>
    </row>
    <row r="47" spans="1:11" x14ac:dyDescent="0.2">
      <c r="A47" s="15">
        <v>41</v>
      </c>
      <c r="B47" s="20">
        <v>1303</v>
      </c>
      <c r="C47" s="21" t="s">
        <v>44</v>
      </c>
      <c r="D47" s="22">
        <v>20679.47251</v>
      </c>
      <c r="E47" s="22">
        <f t="shared" si="0"/>
        <v>20679.47251</v>
      </c>
      <c r="F47" s="22">
        <v>0</v>
      </c>
      <c r="G47" s="22">
        <v>58225.52794</v>
      </c>
      <c r="H47" s="22">
        <v>209949.80035</v>
      </c>
      <c r="I47" s="22">
        <f t="shared" si="1"/>
        <v>268175.32828999998</v>
      </c>
      <c r="J47" s="22">
        <f t="shared" si="2"/>
        <v>288854.80079999997</v>
      </c>
      <c r="K47" s="22">
        <v>0</v>
      </c>
    </row>
    <row r="48" spans="1:11" x14ac:dyDescent="0.2">
      <c r="A48" s="15">
        <v>42</v>
      </c>
      <c r="B48" s="20">
        <v>130305</v>
      </c>
      <c r="C48" s="21" t="s">
        <v>38</v>
      </c>
      <c r="D48" s="22">
        <v>3594.3074299999998</v>
      </c>
      <c r="E48" s="22">
        <f t="shared" si="0"/>
        <v>3594.3074299999998</v>
      </c>
      <c r="F48" s="22">
        <v>0</v>
      </c>
      <c r="G48" s="22">
        <v>30684.78398</v>
      </c>
      <c r="H48" s="22">
        <v>18836.575110000002</v>
      </c>
      <c r="I48" s="22">
        <f t="shared" si="1"/>
        <v>49521.359089999998</v>
      </c>
      <c r="J48" s="22">
        <f t="shared" si="2"/>
        <v>53115.666519999999</v>
      </c>
      <c r="K48" s="22">
        <v>0</v>
      </c>
    </row>
    <row r="49" spans="1:11" x14ac:dyDescent="0.2">
      <c r="A49" s="15">
        <v>43</v>
      </c>
      <c r="B49" s="20">
        <v>130310</v>
      </c>
      <c r="C49" s="21" t="s">
        <v>39</v>
      </c>
      <c r="D49" s="22">
        <v>2436.8458300000002</v>
      </c>
      <c r="E49" s="22">
        <f t="shared" si="0"/>
        <v>2436.8458300000002</v>
      </c>
      <c r="F49" s="22">
        <v>0</v>
      </c>
      <c r="G49" s="22">
        <v>22047.543949999999</v>
      </c>
      <c r="H49" s="22">
        <v>44573.063569999998</v>
      </c>
      <c r="I49" s="22">
        <f t="shared" si="1"/>
        <v>66620.60751999999</v>
      </c>
      <c r="J49" s="22">
        <f t="shared" si="2"/>
        <v>69057.453349999996</v>
      </c>
      <c r="K49" s="22">
        <v>0</v>
      </c>
    </row>
    <row r="50" spans="1:11" x14ac:dyDescent="0.2">
      <c r="A50" s="15">
        <v>44</v>
      </c>
      <c r="B50" s="20">
        <v>130315</v>
      </c>
      <c r="C50" s="21" t="s">
        <v>40</v>
      </c>
      <c r="D50" s="22">
        <v>2576.2865099999999</v>
      </c>
      <c r="E50" s="22">
        <f t="shared" si="0"/>
        <v>2576.2865099999999</v>
      </c>
      <c r="F50" s="22">
        <v>0</v>
      </c>
      <c r="G50" s="22">
        <v>3930.9900400000001</v>
      </c>
      <c r="H50" s="22">
        <v>13074.147999999999</v>
      </c>
      <c r="I50" s="22">
        <f t="shared" si="1"/>
        <v>17005.138039999998</v>
      </c>
      <c r="J50" s="22">
        <f t="shared" si="2"/>
        <v>19581.424549999996</v>
      </c>
      <c r="K50" s="22">
        <v>0</v>
      </c>
    </row>
    <row r="51" spans="1:11" x14ac:dyDescent="0.2">
      <c r="A51" s="15">
        <v>45</v>
      </c>
      <c r="B51" s="20">
        <v>130320</v>
      </c>
      <c r="C51" s="21" t="s">
        <v>41</v>
      </c>
      <c r="D51" s="22">
        <v>1135.99523</v>
      </c>
      <c r="E51" s="22">
        <f t="shared" si="0"/>
        <v>1135.99523</v>
      </c>
      <c r="F51" s="22">
        <v>0</v>
      </c>
      <c r="G51" s="22">
        <v>586.57113000000004</v>
      </c>
      <c r="H51" s="22">
        <v>25142.768390000001</v>
      </c>
      <c r="I51" s="22">
        <f t="shared" si="1"/>
        <v>25729.339520000001</v>
      </c>
      <c r="J51" s="22">
        <f t="shared" si="2"/>
        <v>26865.334750000002</v>
      </c>
      <c r="K51" s="22">
        <v>0</v>
      </c>
    </row>
    <row r="52" spans="1:11" x14ac:dyDescent="0.2">
      <c r="A52" s="15">
        <v>46</v>
      </c>
      <c r="B52" s="20">
        <v>130325</v>
      </c>
      <c r="C52" s="21" t="s">
        <v>42</v>
      </c>
      <c r="D52" s="22">
        <v>10936.03751</v>
      </c>
      <c r="E52" s="22">
        <f t="shared" si="0"/>
        <v>10936.03751</v>
      </c>
      <c r="F52" s="22">
        <v>0</v>
      </c>
      <c r="G52" s="22">
        <v>975.63883999999996</v>
      </c>
      <c r="H52" s="22">
        <v>108323.24528</v>
      </c>
      <c r="I52" s="22">
        <f t="shared" si="1"/>
        <v>109298.88412</v>
      </c>
      <c r="J52" s="22">
        <f t="shared" si="2"/>
        <v>120234.92163</v>
      </c>
      <c r="K52" s="22">
        <v>0</v>
      </c>
    </row>
    <row r="53" spans="1:11" x14ac:dyDescent="0.2">
      <c r="A53" s="15">
        <v>47</v>
      </c>
      <c r="B53" s="20">
        <v>1304</v>
      </c>
      <c r="C53" s="21" t="s">
        <v>45</v>
      </c>
      <c r="D53" s="22">
        <v>4504.2066100000002</v>
      </c>
      <c r="E53" s="22">
        <f t="shared" si="0"/>
        <v>4504.2066100000002</v>
      </c>
      <c r="F53" s="22">
        <v>54922.675199999998</v>
      </c>
      <c r="G53" s="22">
        <v>214249.68096</v>
      </c>
      <c r="H53" s="22">
        <v>151308.98392</v>
      </c>
      <c r="I53" s="22">
        <f t="shared" si="1"/>
        <v>420481.34007999999</v>
      </c>
      <c r="J53" s="22">
        <f t="shared" si="2"/>
        <v>424985.54668999999</v>
      </c>
      <c r="K53" s="22">
        <v>0</v>
      </c>
    </row>
    <row r="54" spans="1:11" x14ac:dyDescent="0.2">
      <c r="A54" s="15">
        <v>48</v>
      </c>
      <c r="B54" s="20">
        <v>130405</v>
      </c>
      <c r="C54" s="21" t="s">
        <v>38</v>
      </c>
      <c r="D54" s="22">
        <v>3000</v>
      </c>
      <c r="E54" s="22">
        <f t="shared" si="0"/>
        <v>3000</v>
      </c>
      <c r="F54" s="22">
        <v>0</v>
      </c>
      <c r="G54" s="22">
        <v>10760.81862</v>
      </c>
      <c r="H54" s="22">
        <v>37.146799999999999</v>
      </c>
      <c r="I54" s="22">
        <f t="shared" si="1"/>
        <v>10797.96542</v>
      </c>
      <c r="J54" s="22">
        <f t="shared" si="2"/>
        <v>13797.96542</v>
      </c>
      <c r="K54" s="22">
        <v>0</v>
      </c>
    </row>
    <row r="55" spans="1:11" x14ac:dyDescent="0.2">
      <c r="A55" s="15">
        <v>49</v>
      </c>
      <c r="B55" s="20">
        <v>130410</v>
      </c>
      <c r="C55" s="21" t="s">
        <v>39</v>
      </c>
      <c r="D55" s="22">
        <v>1499.9993999999999</v>
      </c>
      <c r="E55" s="22">
        <f t="shared" si="0"/>
        <v>1499.9993999999999</v>
      </c>
      <c r="F55" s="22">
        <v>54922.675199999998</v>
      </c>
      <c r="G55" s="22">
        <v>73727.876350000006</v>
      </c>
      <c r="H55" s="22">
        <v>347.99889999999999</v>
      </c>
      <c r="I55" s="22">
        <f t="shared" si="1"/>
        <v>128998.55045000001</v>
      </c>
      <c r="J55" s="22">
        <f t="shared" si="2"/>
        <v>130498.54985000001</v>
      </c>
      <c r="K55" s="22">
        <v>0</v>
      </c>
    </row>
    <row r="56" spans="1:11" x14ac:dyDescent="0.2">
      <c r="A56" s="15">
        <v>50</v>
      </c>
      <c r="B56" s="20">
        <v>130415</v>
      </c>
      <c r="C56" s="21" t="s">
        <v>40</v>
      </c>
      <c r="D56" s="22">
        <v>0.85614000000000001</v>
      </c>
      <c r="E56" s="22">
        <f t="shared" si="0"/>
        <v>0.85614000000000001</v>
      </c>
      <c r="F56" s="22">
        <v>0</v>
      </c>
      <c r="G56" s="22">
        <v>13714.93996</v>
      </c>
      <c r="H56" s="22">
        <v>676.51630999999998</v>
      </c>
      <c r="I56" s="22">
        <f t="shared" si="1"/>
        <v>14391.456269999999</v>
      </c>
      <c r="J56" s="22">
        <f t="shared" si="2"/>
        <v>14392.312409999999</v>
      </c>
      <c r="K56" s="22">
        <v>0</v>
      </c>
    </row>
    <row r="57" spans="1:11" x14ac:dyDescent="0.2">
      <c r="A57" s="15">
        <v>51</v>
      </c>
      <c r="B57" s="20">
        <v>130420</v>
      </c>
      <c r="C57" s="21" t="s">
        <v>41</v>
      </c>
      <c r="D57" s="22">
        <v>0.83775999999999995</v>
      </c>
      <c r="E57" s="22">
        <f t="shared" si="0"/>
        <v>0.83775999999999995</v>
      </c>
      <c r="F57" s="22">
        <v>0</v>
      </c>
      <c r="G57" s="22">
        <v>3402.0542999999998</v>
      </c>
      <c r="H57" s="22">
        <v>1000.53738</v>
      </c>
      <c r="I57" s="22">
        <f t="shared" si="1"/>
        <v>4402.5916799999995</v>
      </c>
      <c r="J57" s="22">
        <f t="shared" si="2"/>
        <v>4403.4294399999999</v>
      </c>
      <c r="K57" s="22">
        <v>0</v>
      </c>
    </row>
    <row r="58" spans="1:11" x14ac:dyDescent="0.2">
      <c r="A58" s="15">
        <v>52</v>
      </c>
      <c r="B58" s="20">
        <v>130425</v>
      </c>
      <c r="C58" s="21" t="s">
        <v>42</v>
      </c>
      <c r="D58" s="22">
        <v>2.5133100000000002</v>
      </c>
      <c r="E58" s="22">
        <f t="shared" si="0"/>
        <v>2.5133100000000002</v>
      </c>
      <c r="F58" s="22">
        <v>0</v>
      </c>
      <c r="G58" s="22">
        <v>112643.99172999999</v>
      </c>
      <c r="H58" s="22">
        <v>149246.78453</v>
      </c>
      <c r="I58" s="22">
        <f t="shared" si="1"/>
        <v>261890.77626000001</v>
      </c>
      <c r="J58" s="22">
        <f t="shared" si="2"/>
        <v>261893.28957000002</v>
      </c>
      <c r="K58" s="22">
        <v>0</v>
      </c>
    </row>
    <row r="59" spans="1:11" x14ac:dyDescent="0.2">
      <c r="A59" s="15">
        <v>53</v>
      </c>
      <c r="B59" s="20">
        <v>1305</v>
      </c>
      <c r="C59" s="21" t="s">
        <v>46</v>
      </c>
      <c r="D59" s="22">
        <v>54.978700000000003</v>
      </c>
      <c r="E59" s="22">
        <f t="shared" si="0"/>
        <v>54.978700000000003</v>
      </c>
      <c r="F59" s="22">
        <v>0</v>
      </c>
      <c r="G59" s="22">
        <v>0</v>
      </c>
      <c r="H59" s="22">
        <v>5030.2044800000003</v>
      </c>
      <c r="I59" s="22">
        <f t="shared" si="1"/>
        <v>5030.2044800000003</v>
      </c>
      <c r="J59" s="22">
        <f t="shared" si="2"/>
        <v>5085.18318</v>
      </c>
      <c r="K59" s="22">
        <v>0</v>
      </c>
    </row>
    <row r="60" spans="1:11" x14ac:dyDescent="0.2">
      <c r="A60" s="15">
        <v>54</v>
      </c>
      <c r="B60" s="20">
        <v>130505</v>
      </c>
      <c r="C60" s="21" t="s">
        <v>38</v>
      </c>
      <c r="D60" s="22">
        <v>0</v>
      </c>
      <c r="E60" s="22">
        <f t="shared" si="0"/>
        <v>0</v>
      </c>
      <c r="F60" s="22">
        <v>0</v>
      </c>
      <c r="G60" s="22">
        <v>0</v>
      </c>
      <c r="H60" s="22">
        <v>0</v>
      </c>
      <c r="I60" s="22">
        <f t="shared" si="1"/>
        <v>0</v>
      </c>
      <c r="J60" s="22">
        <f t="shared" si="2"/>
        <v>0</v>
      </c>
      <c r="K60" s="22">
        <v>0</v>
      </c>
    </row>
    <row r="61" spans="1:11" x14ac:dyDescent="0.2">
      <c r="A61" s="15">
        <v>55</v>
      </c>
      <c r="B61" s="20">
        <v>130510</v>
      </c>
      <c r="C61" s="21" t="s">
        <v>39</v>
      </c>
      <c r="D61" s="22">
        <v>0</v>
      </c>
      <c r="E61" s="22">
        <f t="shared" si="0"/>
        <v>0</v>
      </c>
      <c r="F61" s="22">
        <v>0</v>
      </c>
      <c r="G61" s="22">
        <v>0</v>
      </c>
      <c r="H61" s="22">
        <v>0</v>
      </c>
      <c r="I61" s="22">
        <f t="shared" si="1"/>
        <v>0</v>
      </c>
      <c r="J61" s="22">
        <f t="shared" si="2"/>
        <v>0</v>
      </c>
      <c r="K61" s="22">
        <v>0</v>
      </c>
    </row>
    <row r="62" spans="1:11" x14ac:dyDescent="0.2">
      <c r="A62" s="15">
        <v>56</v>
      </c>
      <c r="B62" s="20">
        <v>130515</v>
      </c>
      <c r="C62" s="21" t="s">
        <v>40</v>
      </c>
      <c r="D62" s="22">
        <v>0</v>
      </c>
      <c r="E62" s="22">
        <f t="shared" si="0"/>
        <v>0</v>
      </c>
      <c r="F62" s="22">
        <v>0</v>
      </c>
      <c r="G62" s="22">
        <v>0</v>
      </c>
      <c r="H62" s="22">
        <v>0</v>
      </c>
      <c r="I62" s="22">
        <f t="shared" si="1"/>
        <v>0</v>
      </c>
      <c r="J62" s="22">
        <f t="shared" si="2"/>
        <v>0</v>
      </c>
      <c r="K62" s="22">
        <v>0</v>
      </c>
    </row>
    <row r="63" spans="1:11" x14ac:dyDescent="0.2">
      <c r="A63" s="15">
        <v>57</v>
      </c>
      <c r="B63" s="20">
        <v>130520</v>
      </c>
      <c r="C63" s="21" t="s">
        <v>47</v>
      </c>
      <c r="D63" s="22">
        <v>0</v>
      </c>
      <c r="E63" s="22">
        <f t="shared" si="0"/>
        <v>0</v>
      </c>
      <c r="F63" s="22">
        <v>0</v>
      </c>
      <c r="G63" s="22">
        <v>0</v>
      </c>
      <c r="H63" s="22">
        <v>0</v>
      </c>
      <c r="I63" s="22">
        <f t="shared" si="1"/>
        <v>0</v>
      </c>
      <c r="J63" s="22">
        <f t="shared" si="2"/>
        <v>0</v>
      </c>
      <c r="K63" s="22">
        <v>0</v>
      </c>
    </row>
    <row r="64" spans="1:11" x14ac:dyDescent="0.2">
      <c r="A64" s="15">
        <v>58</v>
      </c>
      <c r="B64" s="20">
        <v>130525</v>
      </c>
      <c r="C64" s="21" t="s">
        <v>48</v>
      </c>
      <c r="D64" s="22">
        <v>54.978700000000003</v>
      </c>
      <c r="E64" s="22">
        <f t="shared" si="0"/>
        <v>54.978700000000003</v>
      </c>
      <c r="F64" s="22">
        <v>0</v>
      </c>
      <c r="G64" s="22">
        <v>0</v>
      </c>
      <c r="H64" s="22">
        <v>5030.2044800000003</v>
      </c>
      <c r="I64" s="22">
        <f t="shared" si="1"/>
        <v>5030.2044800000003</v>
      </c>
      <c r="J64" s="22">
        <f t="shared" si="2"/>
        <v>5085.18318</v>
      </c>
      <c r="K64" s="22">
        <v>0</v>
      </c>
    </row>
    <row r="65" spans="1:11" x14ac:dyDescent="0.2">
      <c r="A65" s="15">
        <v>59</v>
      </c>
      <c r="B65" s="20">
        <v>130530</v>
      </c>
      <c r="C65" s="21" t="s">
        <v>49</v>
      </c>
      <c r="D65" s="22">
        <v>0</v>
      </c>
      <c r="E65" s="22">
        <f t="shared" si="0"/>
        <v>0</v>
      </c>
      <c r="F65" s="22">
        <v>0</v>
      </c>
      <c r="G65" s="22">
        <v>0</v>
      </c>
      <c r="H65" s="22">
        <v>0</v>
      </c>
      <c r="I65" s="22">
        <f t="shared" si="1"/>
        <v>0</v>
      </c>
      <c r="J65" s="22">
        <f t="shared" si="2"/>
        <v>0</v>
      </c>
      <c r="K65" s="22">
        <v>0</v>
      </c>
    </row>
    <row r="66" spans="1:11" x14ac:dyDescent="0.2">
      <c r="A66" s="15">
        <v>60</v>
      </c>
      <c r="B66" s="20">
        <v>130535</v>
      </c>
      <c r="C66" s="21" t="s">
        <v>50</v>
      </c>
      <c r="D66" s="22">
        <v>0</v>
      </c>
      <c r="E66" s="22">
        <f t="shared" si="0"/>
        <v>0</v>
      </c>
      <c r="F66" s="22">
        <v>0</v>
      </c>
      <c r="G66" s="22">
        <v>0</v>
      </c>
      <c r="H66" s="22">
        <v>0</v>
      </c>
      <c r="I66" s="22">
        <f t="shared" si="1"/>
        <v>0</v>
      </c>
      <c r="J66" s="22">
        <f t="shared" si="2"/>
        <v>0</v>
      </c>
      <c r="K66" s="22">
        <v>0</v>
      </c>
    </row>
    <row r="67" spans="1:11" x14ac:dyDescent="0.2">
      <c r="A67" s="15">
        <v>61</v>
      </c>
      <c r="B67" s="20">
        <v>130540</v>
      </c>
      <c r="C67" s="21" t="s">
        <v>51</v>
      </c>
      <c r="D67" s="22">
        <v>0</v>
      </c>
      <c r="E67" s="22">
        <f t="shared" si="0"/>
        <v>0</v>
      </c>
      <c r="F67" s="22">
        <v>0</v>
      </c>
      <c r="G67" s="22">
        <v>0</v>
      </c>
      <c r="H67" s="22">
        <v>0</v>
      </c>
      <c r="I67" s="22">
        <f t="shared" si="1"/>
        <v>0</v>
      </c>
      <c r="J67" s="22">
        <f t="shared" si="2"/>
        <v>0</v>
      </c>
      <c r="K67" s="22">
        <v>0</v>
      </c>
    </row>
    <row r="68" spans="1:11" x14ac:dyDescent="0.2">
      <c r="A68" s="15">
        <v>62</v>
      </c>
      <c r="B68" s="20">
        <v>1306</v>
      </c>
      <c r="C68" s="21" t="s">
        <v>52</v>
      </c>
      <c r="D68" s="22">
        <v>0</v>
      </c>
      <c r="E68" s="22">
        <f t="shared" si="0"/>
        <v>0</v>
      </c>
      <c r="F68" s="22">
        <v>107499.51647</v>
      </c>
      <c r="G68" s="22">
        <v>0</v>
      </c>
      <c r="H68" s="22">
        <v>0</v>
      </c>
      <c r="I68" s="22">
        <f t="shared" si="1"/>
        <v>107499.51647</v>
      </c>
      <c r="J68" s="22">
        <f t="shared" si="2"/>
        <v>107499.51647</v>
      </c>
      <c r="K68" s="22">
        <v>0</v>
      </c>
    </row>
    <row r="69" spans="1:11" x14ac:dyDescent="0.2">
      <c r="A69" s="15">
        <v>63</v>
      </c>
      <c r="B69" s="20">
        <v>130605</v>
      </c>
      <c r="C69" s="21" t="s">
        <v>38</v>
      </c>
      <c r="D69" s="22">
        <v>0</v>
      </c>
      <c r="E69" s="22">
        <f t="shared" si="0"/>
        <v>0</v>
      </c>
      <c r="F69" s="22">
        <v>0</v>
      </c>
      <c r="G69" s="22">
        <v>0</v>
      </c>
      <c r="H69" s="22">
        <v>0</v>
      </c>
      <c r="I69" s="22">
        <f t="shared" si="1"/>
        <v>0</v>
      </c>
      <c r="J69" s="22">
        <f t="shared" si="2"/>
        <v>0</v>
      </c>
      <c r="K69" s="22">
        <v>0</v>
      </c>
    </row>
    <row r="70" spans="1:11" x14ac:dyDescent="0.2">
      <c r="A70" s="15">
        <v>64</v>
      </c>
      <c r="B70" s="20">
        <v>130610</v>
      </c>
      <c r="C70" s="21" t="s">
        <v>39</v>
      </c>
      <c r="D70" s="22">
        <v>0</v>
      </c>
      <c r="E70" s="22">
        <f t="shared" si="0"/>
        <v>0</v>
      </c>
      <c r="F70" s="22">
        <v>0</v>
      </c>
      <c r="G70" s="22">
        <v>0</v>
      </c>
      <c r="H70" s="22">
        <v>0</v>
      </c>
      <c r="I70" s="22">
        <f t="shared" si="1"/>
        <v>0</v>
      </c>
      <c r="J70" s="22">
        <f t="shared" si="2"/>
        <v>0</v>
      </c>
      <c r="K70" s="22">
        <v>0</v>
      </c>
    </row>
    <row r="71" spans="1:11" x14ac:dyDescent="0.2">
      <c r="A71" s="15">
        <v>65</v>
      </c>
      <c r="B71" s="20">
        <v>130615</v>
      </c>
      <c r="C71" s="21" t="s">
        <v>40</v>
      </c>
      <c r="D71" s="22">
        <v>0</v>
      </c>
      <c r="E71" s="22">
        <f t="shared" si="0"/>
        <v>0</v>
      </c>
      <c r="F71" s="22">
        <v>0</v>
      </c>
      <c r="G71" s="22">
        <v>0</v>
      </c>
      <c r="H71" s="22">
        <v>0</v>
      </c>
      <c r="I71" s="22">
        <f t="shared" si="1"/>
        <v>0</v>
      </c>
      <c r="J71" s="22">
        <f t="shared" si="2"/>
        <v>0</v>
      </c>
      <c r="K71" s="22">
        <v>0</v>
      </c>
    </row>
    <row r="72" spans="1:11" x14ac:dyDescent="0.2">
      <c r="A72" s="15">
        <v>66</v>
      </c>
      <c r="B72" s="20">
        <v>130620</v>
      </c>
      <c r="C72" s="21" t="s">
        <v>47</v>
      </c>
      <c r="D72" s="22">
        <v>0</v>
      </c>
      <c r="E72" s="22">
        <f t="shared" si="0"/>
        <v>0</v>
      </c>
      <c r="F72" s="22">
        <v>0</v>
      </c>
      <c r="G72" s="22">
        <v>0</v>
      </c>
      <c r="H72" s="22">
        <v>0</v>
      </c>
      <c r="I72" s="22">
        <f t="shared" si="1"/>
        <v>0</v>
      </c>
      <c r="J72" s="22">
        <f t="shared" si="2"/>
        <v>0</v>
      </c>
      <c r="K72" s="22">
        <v>0</v>
      </c>
    </row>
    <row r="73" spans="1:11" x14ac:dyDescent="0.2">
      <c r="A73" s="15">
        <v>67</v>
      </c>
      <c r="B73" s="20">
        <v>130625</v>
      </c>
      <c r="C73" s="21" t="s">
        <v>48</v>
      </c>
      <c r="D73" s="22">
        <v>0</v>
      </c>
      <c r="E73" s="22">
        <f t="shared" si="0"/>
        <v>0</v>
      </c>
      <c r="F73" s="22">
        <v>0</v>
      </c>
      <c r="G73" s="22">
        <v>0</v>
      </c>
      <c r="H73" s="22">
        <v>0</v>
      </c>
      <c r="I73" s="22">
        <f t="shared" si="1"/>
        <v>0</v>
      </c>
      <c r="J73" s="22">
        <f t="shared" si="2"/>
        <v>0</v>
      </c>
      <c r="K73" s="22">
        <v>0</v>
      </c>
    </row>
    <row r="74" spans="1:11" x14ac:dyDescent="0.2">
      <c r="A74" s="15">
        <v>68</v>
      </c>
      <c r="B74" s="20">
        <v>130630</v>
      </c>
      <c r="C74" s="21" t="s">
        <v>49</v>
      </c>
      <c r="D74" s="22">
        <v>0</v>
      </c>
      <c r="E74" s="22">
        <f t="shared" ref="E74:E137" si="3">+D74</f>
        <v>0</v>
      </c>
      <c r="F74" s="22">
        <v>0</v>
      </c>
      <c r="G74" s="22">
        <v>0</v>
      </c>
      <c r="H74" s="22">
        <v>0</v>
      </c>
      <c r="I74" s="22">
        <f t="shared" ref="I74:I137" si="4">+SUM(F74:H74)</f>
        <v>0</v>
      </c>
      <c r="J74" s="22">
        <f t="shared" ref="J74:J137" si="5">+E74+I74</f>
        <v>0</v>
      </c>
      <c r="K74" s="22">
        <v>0</v>
      </c>
    </row>
    <row r="75" spans="1:11" x14ac:dyDescent="0.2">
      <c r="A75" s="15">
        <v>69</v>
      </c>
      <c r="B75" s="20">
        <v>130635</v>
      </c>
      <c r="C75" s="21" t="s">
        <v>50</v>
      </c>
      <c r="D75" s="22">
        <v>0</v>
      </c>
      <c r="E75" s="22">
        <f t="shared" si="3"/>
        <v>0</v>
      </c>
      <c r="F75" s="22">
        <v>107499.51647</v>
      </c>
      <c r="G75" s="22">
        <v>0</v>
      </c>
      <c r="H75" s="22">
        <v>0</v>
      </c>
      <c r="I75" s="22">
        <f t="shared" si="4"/>
        <v>107499.51647</v>
      </c>
      <c r="J75" s="22">
        <f t="shared" si="5"/>
        <v>107499.51647</v>
      </c>
      <c r="K75" s="22">
        <v>0</v>
      </c>
    </row>
    <row r="76" spans="1:11" x14ac:dyDescent="0.2">
      <c r="A76" s="15">
        <v>70</v>
      </c>
      <c r="B76" s="20">
        <v>130640</v>
      </c>
      <c r="C76" s="21" t="s">
        <v>51</v>
      </c>
      <c r="D76" s="22">
        <v>0</v>
      </c>
      <c r="E76" s="22">
        <f t="shared" si="3"/>
        <v>0</v>
      </c>
      <c r="F76" s="22">
        <v>0</v>
      </c>
      <c r="G76" s="22">
        <v>0</v>
      </c>
      <c r="H76" s="22">
        <v>0</v>
      </c>
      <c r="I76" s="22">
        <f t="shared" si="4"/>
        <v>0</v>
      </c>
      <c r="J76" s="22">
        <f t="shared" si="5"/>
        <v>0</v>
      </c>
      <c r="K76" s="22">
        <v>0</v>
      </c>
    </row>
    <row r="77" spans="1:11" x14ac:dyDescent="0.2">
      <c r="A77" s="15">
        <v>71</v>
      </c>
      <c r="B77" s="20">
        <v>1307</v>
      </c>
      <c r="C77" s="21" t="s">
        <v>53</v>
      </c>
      <c r="D77" s="22">
        <v>0</v>
      </c>
      <c r="E77" s="22">
        <f t="shared" si="3"/>
        <v>0</v>
      </c>
      <c r="F77" s="22">
        <v>17499.943780000001</v>
      </c>
      <c r="G77" s="22">
        <v>18044.416000000001</v>
      </c>
      <c r="H77" s="22">
        <v>70655</v>
      </c>
      <c r="I77" s="22">
        <f t="shared" si="4"/>
        <v>106199.35978</v>
      </c>
      <c r="J77" s="22">
        <f t="shared" si="5"/>
        <v>106199.35978</v>
      </c>
      <c r="K77" s="22">
        <v>0</v>
      </c>
    </row>
    <row r="78" spans="1:11" x14ac:dyDescent="0.2">
      <c r="A78" s="15">
        <v>72</v>
      </c>
      <c r="B78" s="20">
        <v>130705</v>
      </c>
      <c r="C78" s="21" t="s">
        <v>54</v>
      </c>
      <c r="D78" s="22">
        <v>0</v>
      </c>
      <c r="E78" s="22">
        <f t="shared" si="3"/>
        <v>0</v>
      </c>
      <c r="F78" s="22">
        <v>0</v>
      </c>
      <c r="G78" s="22">
        <v>0</v>
      </c>
      <c r="H78" s="22">
        <v>655</v>
      </c>
      <c r="I78" s="22">
        <f t="shared" si="4"/>
        <v>655</v>
      </c>
      <c r="J78" s="22">
        <f t="shared" si="5"/>
        <v>655</v>
      </c>
      <c r="K78" s="22">
        <v>0</v>
      </c>
    </row>
    <row r="79" spans="1:11" x14ac:dyDescent="0.2">
      <c r="A79" s="15">
        <v>73</v>
      </c>
      <c r="B79" s="20">
        <v>130710</v>
      </c>
      <c r="C79" s="21" t="s">
        <v>55</v>
      </c>
      <c r="D79" s="22">
        <v>0</v>
      </c>
      <c r="E79" s="22">
        <f t="shared" si="3"/>
        <v>0</v>
      </c>
      <c r="F79" s="22">
        <v>0</v>
      </c>
      <c r="G79" s="22">
        <v>0</v>
      </c>
      <c r="H79" s="22">
        <v>0</v>
      </c>
      <c r="I79" s="22">
        <f t="shared" si="4"/>
        <v>0</v>
      </c>
      <c r="J79" s="22">
        <f t="shared" si="5"/>
        <v>0</v>
      </c>
      <c r="K79" s="22">
        <v>0</v>
      </c>
    </row>
    <row r="80" spans="1:11" x14ac:dyDescent="0.2">
      <c r="A80" s="15">
        <v>74</v>
      </c>
      <c r="B80" s="20">
        <v>130715</v>
      </c>
      <c r="C80" s="21" t="s">
        <v>56</v>
      </c>
      <c r="D80" s="22">
        <v>0</v>
      </c>
      <c r="E80" s="22">
        <f t="shared" si="3"/>
        <v>0</v>
      </c>
      <c r="F80" s="22">
        <v>17499.943780000001</v>
      </c>
      <c r="G80" s="22">
        <v>18044.416000000001</v>
      </c>
      <c r="H80" s="22">
        <v>70000</v>
      </c>
      <c r="I80" s="22">
        <f t="shared" si="4"/>
        <v>105544.35978</v>
      </c>
      <c r="J80" s="22">
        <f t="shared" si="5"/>
        <v>105544.35978</v>
      </c>
      <c r="K80" s="22"/>
    </row>
    <row r="81" spans="1:11" x14ac:dyDescent="0.2">
      <c r="A81" s="15">
        <v>75</v>
      </c>
      <c r="B81" s="20">
        <v>130720</v>
      </c>
      <c r="C81" s="21" t="s">
        <v>57</v>
      </c>
      <c r="D81" s="22">
        <v>0</v>
      </c>
      <c r="E81" s="22">
        <f t="shared" si="3"/>
        <v>0</v>
      </c>
      <c r="F81" s="22">
        <v>0</v>
      </c>
      <c r="G81" s="22">
        <v>0</v>
      </c>
      <c r="H81" s="22">
        <v>0</v>
      </c>
      <c r="I81" s="22">
        <f t="shared" si="4"/>
        <v>0</v>
      </c>
      <c r="J81" s="22">
        <f t="shared" si="5"/>
        <v>0</v>
      </c>
      <c r="K81" s="22">
        <v>0</v>
      </c>
    </row>
    <row r="82" spans="1:11" x14ac:dyDescent="0.2">
      <c r="A82" s="15">
        <v>76</v>
      </c>
      <c r="B82" s="20">
        <v>130790</v>
      </c>
      <c r="C82" s="21" t="s">
        <v>58</v>
      </c>
      <c r="D82" s="22">
        <v>0</v>
      </c>
      <c r="E82" s="22">
        <f t="shared" si="3"/>
        <v>0</v>
      </c>
      <c r="F82" s="22">
        <v>0</v>
      </c>
      <c r="G82" s="22">
        <v>0</v>
      </c>
      <c r="H82" s="22">
        <v>0</v>
      </c>
      <c r="I82" s="22">
        <f t="shared" si="4"/>
        <v>0</v>
      </c>
      <c r="J82" s="22">
        <f t="shared" si="5"/>
        <v>0</v>
      </c>
      <c r="K82" s="22">
        <v>0</v>
      </c>
    </row>
    <row r="83" spans="1:11" x14ac:dyDescent="0.2">
      <c r="A83" s="15">
        <v>77</v>
      </c>
      <c r="B83" s="20">
        <v>1399</v>
      </c>
      <c r="C83" s="21" t="s">
        <v>59</v>
      </c>
      <c r="D83" s="22">
        <v>-0.54990000000000006</v>
      </c>
      <c r="E83" s="22">
        <f t="shared" si="3"/>
        <v>-0.54990000000000006</v>
      </c>
      <c r="F83" s="22">
        <v>0</v>
      </c>
      <c r="G83" s="22">
        <v>-593.72847000000002</v>
      </c>
      <c r="H83" s="22">
        <v>-58.060220000000001</v>
      </c>
      <c r="I83" s="22">
        <f t="shared" si="4"/>
        <v>-651.78868999999997</v>
      </c>
      <c r="J83" s="22">
        <f t="shared" si="5"/>
        <v>-652.33858999999995</v>
      </c>
      <c r="K83" s="22">
        <v>0</v>
      </c>
    </row>
    <row r="84" spans="1:11" x14ac:dyDescent="0.2">
      <c r="A84" s="15">
        <v>78</v>
      </c>
      <c r="B84" s="20">
        <v>139905</v>
      </c>
      <c r="C84" s="21" t="s">
        <v>60</v>
      </c>
      <c r="D84" s="22">
        <v>-0.54990000000000006</v>
      </c>
      <c r="E84" s="22">
        <f t="shared" si="3"/>
        <v>-0.54990000000000006</v>
      </c>
      <c r="F84" s="22">
        <v>0</v>
      </c>
      <c r="G84" s="22">
        <v>0</v>
      </c>
      <c r="H84" s="22">
        <v>-58.060220000000001</v>
      </c>
      <c r="I84" s="22">
        <f t="shared" si="4"/>
        <v>-58.060220000000001</v>
      </c>
      <c r="J84" s="22">
        <f t="shared" si="5"/>
        <v>-58.610120000000002</v>
      </c>
      <c r="K84" s="22">
        <v>0</v>
      </c>
    </row>
    <row r="85" spans="1:11" x14ac:dyDescent="0.2">
      <c r="A85" s="15">
        <v>79</v>
      </c>
      <c r="B85" s="20">
        <v>139910</v>
      </c>
      <c r="C85" s="21" t="s">
        <v>61</v>
      </c>
      <c r="D85" s="22">
        <v>0</v>
      </c>
      <c r="E85" s="22">
        <f t="shared" si="3"/>
        <v>0</v>
      </c>
      <c r="F85" s="22">
        <v>0</v>
      </c>
      <c r="G85" s="22">
        <v>-593.72847000000002</v>
      </c>
      <c r="H85" s="22">
        <v>0</v>
      </c>
      <c r="I85" s="22">
        <f t="shared" si="4"/>
        <v>-593.72847000000002</v>
      </c>
      <c r="J85" s="22">
        <f t="shared" si="5"/>
        <v>-593.72847000000002</v>
      </c>
      <c r="K85" s="22">
        <v>0</v>
      </c>
    </row>
    <row r="86" spans="1:11" x14ac:dyDescent="0.2">
      <c r="A86" s="15">
        <v>80</v>
      </c>
      <c r="B86" s="20">
        <v>14</v>
      </c>
      <c r="C86" s="21" t="s">
        <v>62</v>
      </c>
      <c r="D86" s="22">
        <v>171838.32339999999</v>
      </c>
      <c r="E86" s="22">
        <f t="shared" si="3"/>
        <v>171838.32339999999</v>
      </c>
      <c r="F86" s="22">
        <v>936618.43749000004</v>
      </c>
      <c r="G86" s="22">
        <v>818648.83354999998</v>
      </c>
      <c r="H86" s="22">
        <v>1121186.24346</v>
      </c>
      <c r="I86" s="22">
        <f t="shared" si="4"/>
        <v>2876453.5145</v>
      </c>
      <c r="J86" s="22">
        <f t="shared" si="5"/>
        <v>3048291.8379000002</v>
      </c>
      <c r="K86" s="22">
        <v>273453.80021999998</v>
      </c>
    </row>
    <row r="87" spans="1:11" x14ac:dyDescent="0.2">
      <c r="A87" s="15">
        <v>81</v>
      </c>
      <c r="B87" s="20">
        <v>1401</v>
      </c>
      <c r="C87" s="21" t="s">
        <v>63</v>
      </c>
      <c r="D87" s="22">
        <v>148524.22487000001</v>
      </c>
      <c r="E87" s="22">
        <f t="shared" si="3"/>
        <v>148524.22487000001</v>
      </c>
      <c r="F87" s="22"/>
      <c r="G87" s="22">
        <v>483772.24086999998</v>
      </c>
      <c r="H87" s="22">
        <v>1085659.95013</v>
      </c>
      <c r="I87" s="22">
        <f t="shared" si="4"/>
        <v>1569432.1910000001</v>
      </c>
      <c r="J87" s="22">
        <f t="shared" si="5"/>
        <v>1717956.4158700001</v>
      </c>
      <c r="K87" s="22"/>
    </row>
    <row r="88" spans="1:11" x14ac:dyDescent="0.2">
      <c r="A88" s="15">
        <v>82</v>
      </c>
      <c r="B88" s="20">
        <v>140105</v>
      </c>
      <c r="C88" s="21" t="s">
        <v>38</v>
      </c>
      <c r="D88" s="22">
        <v>6712.5197200000002</v>
      </c>
      <c r="E88" s="22">
        <f t="shared" si="3"/>
        <v>6712.5197200000002</v>
      </c>
      <c r="F88" s="22"/>
      <c r="G88" s="22">
        <v>19813.68835</v>
      </c>
      <c r="H88" s="22">
        <v>33314.621420000003</v>
      </c>
      <c r="I88" s="22">
        <f t="shared" si="4"/>
        <v>53128.309770000007</v>
      </c>
      <c r="J88" s="22">
        <f t="shared" si="5"/>
        <v>59840.829490000004</v>
      </c>
      <c r="K88" s="22"/>
    </row>
    <row r="89" spans="1:11" x14ac:dyDescent="0.2">
      <c r="A89" s="15">
        <v>83</v>
      </c>
      <c r="B89" s="20">
        <v>140110</v>
      </c>
      <c r="C89" s="21" t="s">
        <v>39</v>
      </c>
      <c r="D89" s="22">
        <v>12500.96263</v>
      </c>
      <c r="E89" s="22">
        <f t="shared" si="3"/>
        <v>12500.96263</v>
      </c>
      <c r="F89" s="22"/>
      <c r="G89" s="22">
        <v>27201.825659999999</v>
      </c>
      <c r="H89" s="22">
        <v>54250.488859999998</v>
      </c>
      <c r="I89" s="22">
        <f t="shared" si="4"/>
        <v>81452.31452</v>
      </c>
      <c r="J89" s="22">
        <f t="shared" si="5"/>
        <v>93953.277149999994</v>
      </c>
      <c r="K89" s="22"/>
    </row>
    <row r="90" spans="1:11" x14ac:dyDescent="0.2">
      <c r="A90" s="15">
        <v>84</v>
      </c>
      <c r="B90" s="20">
        <v>140115</v>
      </c>
      <c r="C90" s="21" t="s">
        <v>40</v>
      </c>
      <c r="D90" s="22">
        <v>18909.94081</v>
      </c>
      <c r="E90" s="22">
        <f t="shared" si="3"/>
        <v>18909.94081</v>
      </c>
      <c r="F90" s="22"/>
      <c r="G90" s="22">
        <v>41529.282599999999</v>
      </c>
      <c r="H90" s="22">
        <v>79415.883549999999</v>
      </c>
      <c r="I90" s="22">
        <f t="shared" si="4"/>
        <v>120945.16615</v>
      </c>
      <c r="J90" s="22">
        <f t="shared" si="5"/>
        <v>139855.10696</v>
      </c>
      <c r="K90" s="22"/>
    </row>
    <row r="91" spans="1:11" x14ac:dyDescent="0.2">
      <c r="A91" s="15">
        <v>85</v>
      </c>
      <c r="B91" s="20">
        <v>140120</v>
      </c>
      <c r="C91" s="21" t="s">
        <v>41</v>
      </c>
      <c r="D91" s="22">
        <v>35175.574159999996</v>
      </c>
      <c r="E91" s="22">
        <f t="shared" si="3"/>
        <v>35175.574159999996</v>
      </c>
      <c r="F91" s="22"/>
      <c r="G91" s="22">
        <v>79017.004520000002</v>
      </c>
      <c r="H91" s="22">
        <v>123130.15199</v>
      </c>
      <c r="I91" s="22">
        <f t="shared" si="4"/>
        <v>202147.15651</v>
      </c>
      <c r="J91" s="22">
        <f t="shared" si="5"/>
        <v>237322.73066999999</v>
      </c>
      <c r="K91" s="22"/>
    </row>
    <row r="92" spans="1:11" x14ac:dyDescent="0.2">
      <c r="A92" s="15">
        <v>86</v>
      </c>
      <c r="B92" s="20">
        <v>140125</v>
      </c>
      <c r="C92" s="21" t="s">
        <v>42</v>
      </c>
      <c r="D92" s="22">
        <v>75225.227549999996</v>
      </c>
      <c r="E92" s="22">
        <f t="shared" si="3"/>
        <v>75225.227549999996</v>
      </c>
      <c r="F92" s="22"/>
      <c r="G92" s="22">
        <v>316210.43974</v>
      </c>
      <c r="H92" s="22">
        <v>795548.80431000004</v>
      </c>
      <c r="I92" s="22">
        <f t="shared" si="4"/>
        <v>1111759.2440500001</v>
      </c>
      <c r="J92" s="22">
        <f t="shared" si="5"/>
        <v>1186984.4716</v>
      </c>
      <c r="K92" s="22"/>
    </row>
    <row r="93" spans="1:11" x14ac:dyDescent="0.2">
      <c r="A93" s="15">
        <v>87</v>
      </c>
      <c r="B93" s="20">
        <v>1402</v>
      </c>
      <c r="C93" s="21" t="s">
        <v>64</v>
      </c>
      <c r="D93" s="22">
        <v>0</v>
      </c>
      <c r="E93" s="22">
        <f t="shared" si="3"/>
        <v>0</v>
      </c>
      <c r="F93" s="22">
        <v>0</v>
      </c>
      <c r="G93" s="22">
        <v>26875.976200000001</v>
      </c>
      <c r="H93" s="22">
        <v>0</v>
      </c>
      <c r="I93" s="22">
        <f t="shared" si="4"/>
        <v>26875.976200000001</v>
      </c>
      <c r="J93" s="22">
        <f t="shared" si="5"/>
        <v>26875.976200000001</v>
      </c>
      <c r="K93" s="22"/>
    </row>
    <row r="94" spans="1:11" x14ac:dyDescent="0.2">
      <c r="A94" s="15">
        <v>88</v>
      </c>
      <c r="B94" s="20">
        <v>140205</v>
      </c>
      <c r="C94" s="21" t="s">
        <v>38</v>
      </c>
      <c r="D94" s="22">
        <v>0</v>
      </c>
      <c r="E94" s="22">
        <f t="shared" si="3"/>
        <v>0</v>
      </c>
      <c r="F94" s="22">
        <v>0</v>
      </c>
      <c r="G94" s="22">
        <v>1597.26377</v>
      </c>
      <c r="H94" s="22">
        <v>0</v>
      </c>
      <c r="I94" s="22">
        <f t="shared" si="4"/>
        <v>1597.26377</v>
      </c>
      <c r="J94" s="22">
        <f t="shared" si="5"/>
        <v>1597.26377</v>
      </c>
      <c r="K94" s="22"/>
    </row>
    <row r="95" spans="1:11" x14ac:dyDescent="0.2">
      <c r="A95" s="15">
        <v>89</v>
      </c>
      <c r="B95" s="20">
        <v>140210</v>
      </c>
      <c r="C95" s="21" t="s">
        <v>39</v>
      </c>
      <c r="D95" s="22">
        <v>0</v>
      </c>
      <c r="E95" s="22">
        <f t="shared" si="3"/>
        <v>0</v>
      </c>
      <c r="F95" s="22">
        <v>0</v>
      </c>
      <c r="G95" s="22">
        <v>2861.9652099999998</v>
      </c>
      <c r="H95" s="22">
        <v>0</v>
      </c>
      <c r="I95" s="22">
        <f t="shared" si="4"/>
        <v>2861.9652099999998</v>
      </c>
      <c r="J95" s="22">
        <f t="shared" si="5"/>
        <v>2861.9652099999998</v>
      </c>
      <c r="K95" s="22"/>
    </row>
    <row r="96" spans="1:11" x14ac:dyDescent="0.2">
      <c r="A96" s="15">
        <v>90</v>
      </c>
      <c r="B96" s="20">
        <v>140215</v>
      </c>
      <c r="C96" s="21" t="s">
        <v>40</v>
      </c>
      <c r="D96" s="22">
        <v>0</v>
      </c>
      <c r="E96" s="22">
        <f t="shared" si="3"/>
        <v>0</v>
      </c>
      <c r="F96" s="22">
        <v>0</v>
      </c>
      <c r="G96" s="22">
        <v>4306.0564299999996</v>
      </c>
      <c r="H96" s="22">
        <v>0</v>
      </c>
      <c r="I96" s="22">
        <f t="shared" si="4"/>
        <v>4306.0564299999996</v>
      </c>
      <c r="J96" s="22">
        <f t="shared" si="5"/>
        <v>4306.0564299999996</v>
      </c>
      <c r="K96" s="22"/>
    </row>
    <row r="97" spans="1:11" x14ac:dyDescent="0.2">
      <c r="A97" s="15">
        <v>91</v>
      </c>
      <c r="B97" s="20">
        <v>140220</v>
      </c>
      <c r="C97" s="21" t="s">
        <v>41</v>
      </c>
      <c r="D97" s="22">
        <v>0</v>
      </c>
      <c r="E97" s="22">
        <f t="shared" si="3"/>
        <v>0</v>
      </c>
      <c r="F97" s="22">
        <v>0</v>
      </c>
      <c r="G97" s="22">
        <v>7543.3885899999996</v>
      </c>
      <c r="H97" s="22">
        <v>0</v>
      </c>
      <c r="I97" s="22">
        <f t="shared" si="4"/>
        <v>7543.3885899999996</v>
      </c>
      <c r="J97" s="22">
        <f t="shared" si="5"/>
        <v>7543.3885899999996</v>
      </c>
      <c r="K97" s="22"/>
    </row>
    <row r="98" spans="1:11" x14ac:dyDescent="0.2">
      <c r="A98" s="15">
        <v>92</v>
      </c>
      <c r="B98" s="20">
        <v>140225</v>
      </c>
      <c r="C98" s="21" t="s">
        <v>42</v>
      </c>
      <c r="D98" s="22">
        <v>0</v>
      </c>
      <c r="E98" s="22">
        <f t="shared" si="3"/>
        <v>0</v>
      </c>
      <c r="F98" s="22">
        <v>0</v>
      </c>
      <c r="G98" s="22">
        <v>10567.3022</v>
      </c>
      <c r="H98" s="22">
        <v>0</v>
      </c>
      <c r="I98" s="22">
        <f t="shared" si="4"/>
        <v>10567.3022</v>
      </c>
      <c r="J98" s="22">
        <f t="shared" si="5"/>
        <v>10567.3022</v>
      </c>
      <c r="K98" s="22"/>
    </row>
    <row r="99" spans="1:11" x14ac:dyDescent="0.2">
      <c r="A99" s="15">
        <v>93</v>
      </c>
      <c r="B99" s="20">
        <v>1403</v>
      </c>
      <c r="C99" s="21" t="s">
        <v>65</v>
      </c>
      <c r="D99" s="22">
        <v>11717.34239</v>
      </c>
      <c r="E99" s="22">
        <f t="shared" si="3"/>
        <v>11717.34239</v>
      </c>
      <c r="F99" s="22"/>
      <c r="G99" s="22"/>
      <c r="H99" s="22"/>
      <c r="I99" s="22">
        <f t="shared" si="4"/>
        <v>0</v>
      </c>
      <c r="J99" s="22">
        <f t="shared" si="5"/>
        <v>11717.34239</v>
      </c>
      <c r="K99" s="22"/>
    </row>
    <row r="100" spans="1:11" x14ac:dyDescent="0.2">
      <c r="A100" s="15">
        <v>94</v>
      </c>
      <c r="B100" s="20">
        <v>140305</v>
      </c>
      <c r="C100" s="21" t="s">
        <v>38</v>
      </c>
      <c r="D100" s="22">
        <v>293.46717999999998</v>
      </c>
      <c r="E100" s="22">
        <f t="shared" si="3"/>
        <v>293.46717999999998</v>
      </c>
      <c r="F100" s="22"/>
      <c r="G100" s="22"/>
      <c r="H100" s="22"/>
      <c r="I100" s="22">
        <f t="shared" si="4"/>
        <v>0</v>
      </c>
      <c r="J100" s="22">
        <f t="shared" si="5"/>
        <v>293.46717999999998</v>
      </c>
      <c r="K100" s="22"/>
    </row>
    <row r="101" spans="1:11" x14ac:dyDescent="0.2">
      <c r="A101" s="15">
        <v>95</v>
      </c>
      <c r="B101" s="20">
        <v>140310</v>
      </c>
      <c r="C101" s="21" t="s">
        <v>39</v>
      </c>
      <c r="D101" s="22">
        <v>397.61407000000003</v>
      </c>
      <c r="E101" s="22">
        <f t="shared" si="3"/>
        <v>397.61407000000003</v>
      </c>
      <c r="F101" s="22"/>
      <c r="G101" s="22"/>
      <c r="H101" s="22"/>
      <c r="I101" s="22">
        <f t="shared" si="4"/>
        <v>0</v>
      </c>
      <c r="J101" s="22">
        <f t="shared" si="5"/>
        <v>397.61407000000003</v>
      </c>
      <c r="K101" s="22"/>
    </row>
    <row r="102" spans="1:11" x14ac:dyDescent="0.2">
      <c r="A102" s="15">
        <v>96</v>
      </c>
      <c r="B102" s="20">
        <v>140315</v>
      </c>
      <c r="C102" s="21" t="s">
        <v>40</v>
      </c>
      <c r="D102" s="22">
        <v>596.99017000000003</v>
      </c>
      <c r="E102" s="22">
        <f t="shared" si="3"/>
        <v>596.99017000000003</v>
      </c>
      <c r="F102" s="22"/>
      <c r="G102" s="22"/>
      <c r="H102" s="22"/>
      <c r="I102" s="22">
        <f t="shared" si="4"/>
        <v>0</v>
      </c>
      <c r="J102" s="22">
        <f t="shared" si="5"/>
        <v>596.99017000000003</v>
      </c>
      <c r="K102" s="22"/>
    </row>
    <row r="103" spans="1:11" x14ac:dyDescent="0.2">
      <c r="A103" s="15">
        <v>97</v>
      </c>
      <c r="B103" s="20">
        <v>140320</v>
      </c>
      <c r="C103" s="21" t="s">
        <v>41</v>
      </c>
      <c r="D103" s="22">
        <v>1176.0128999999999</v>
      </c>
      <c r="E103" s="22">
        <f t="shared" si="3"/>
        <v>1176.0128999999999</v>
      </c>
      <c r="F103" s="22"/>
      <c r="G103" s="22"/>
      <c r="H103" s="22"/>
      <c r="I103" s="22">
        <f t="shared" si="4"/>
        <v>0</v>
      </c>
      <c r="J103" s="22">
        <f t="shared" si="5"/>
        <v>1176.0128999999999</v>
      </c>
      <c r="K103" s="22"/>
    </row>
    <row r="104" spans="1:11" x14ac:dyDescent="0.2">
      <c r="A104" s="15">
        <v>98</v>
      </c>
      <c r="B104" s="20">
        <v>140325</v>
      </c>
      <c r="C104" s="21" t="s">
        <v>42</v>
      </c>
      <c r="D104" s="22">
        <v>9253.2580699999999</v>
      </c>
      <c r="E104" s="22">
        <f t="shared" si="3"/>
        <v>9253.2580699999999</v>
      </c>
      <c r="F104" s="22"/>
      <c r="G104" s="22"/>
      <c r="H104" s="22"/>
      <c r="I104" s="22">
        <f t="shared" si="4"/>
        <v>0</v>
      </c>
      <c r="J104" s="22">
        <f t="shared" si="5"/>
        <v>9253.2580699999999</v>
      </c>
      <c r="K104" s="22"/>
    </row>
    <row r="105" spans="1:11" x14ac:dyDescent="0.2">
      <c r="A105" s="15">
        <v>99</v>
      </c>
      <c r="B105" s="20">
        <v>1404</v>
      </c>
      <c r="C105" s="21" t="s">
        <v>66</v>
      </c>
      <c r="D105" s="22"/>
      <c r="E105" s="22">
        <f t="shared" si="3"/>
        <v>0</v>
      </c>
      <c r="F105" s="22"/>
      <c r="G105" s="22">
        <v>250092.33090999999</v>
      </c>
      <c r="H105" s="22">
        <v>26730.865440000001</v>
      </c>
      <c r="I105" s="22">
        <f t="shared" si="4"/>
        <v>276823.19634999998</v>
      </c>
      <c r="J105" s="22">
        <f t="shared" si="5"/>
        <v>276823.19634999998</v>
      </c>
      <c r="K105" s="22"/>
    </row>
    <row r="106" spans="1:11" x14ac:dyDescent="0.2">
      <c r="A106" s="15">
        <v>100</v>
      </c>
      <c r="B106" s="20">
        <v>140405</v>
      </c>
      <c r="C106" s="21" t="s">
        <v>38</v>
      </c>
      <c r="D106" s="22"/>
      <c r="E106" s="22">
        <f t="shared" si="3"/>
        <v>0</v>
      </c>
      <c r="F106" s="22"/>
      <c r="G106" s="22">
        <v>15332.79767</v>
      </c>
      <c r="H106" s="22">
        <v>1322.6482699999999</v>
      </c>
      <c r="I106" s="22">
        <f t="shared" si="4"/>
        <v>16655.445940000001</v>
      </c>
      <c r="J106" s="22">
        <f t="shared" si="5"/>
        <v>16655.445940000001</v>
      </c>
      <c r="K106" s="22"/>
    </row>
    <row r="107" spans="1:11" x14ac:dyDescent="0.2">
      <c r="A107" s="15">
        <v>101</v>
      </c>
      <c r="B107" s="20">
        <v>140410</v>
      </c>
      <c r="C107" s="21" t="s">
        <v>39</v>
      </c>
      <c r="D107" s="22"/>
      <c r="E107" s="22">
        <f t="shared" si="3"/>
        <v>0</v>
      </c>
      <c r="F107" s="22"/>
      <c r="G107" s="22">
        <v>23589.450280000001</v>
      </c>
      <c r="H107" s="22">
        <v>2011.1792800000001</v>
      </c>
      <c r="I107" s="22">
        <f t="shared" si="4"/>
        <v>25600.629560000001</v>
      </c>
      <c r="J107" s="22">
        <f t="shared" si="5"/>
        <v>25600.629560000001</v>
      </c>
      <c r="K107" s="22"/>
    </row>
    <row r="108" spans="1:11" x14ac:dyDescent="0.2">
      <c r="A108" s="15">
        <v>102</v>
      </c>
      <c r="B108" s="20">
        <v>140415</v>
      </c>
      <c r="C108" s="21" t="s">
        <v>40</v>
      </c>
      <c r="D108" s="22"/>
      <c r="E108" s="22">
        <f t="shared" si="3"/>
        <v>0</v>
      </c>
      <c r="F108" s="22"/>
      <c r="G108" s="22">
        <v>33449.868580000002</v>
      </c>
      <c r="H108" s="22">
        <v>2890.0178700000001</v>
      </c>
      <c r="I108" s="22">
        <f t="shared" si="4"/>
        <v>36339.886450000005</v>
      </c>
      <c r="J108" s="22">
        <f t="shared" si="5"/>
        <v>36339.886450000005</v>
      </c>
      <c r="K108" s="22"/>
    </row>
    <row r="109" spans="1:11" x14ac:dyDescent="0.2">
      <c r="A109" s="15">
        <v>103</v>
      </c>
      <c r="B109" s="20">
        <v>140420</v>
      </c>
      <c r="C109" s="21" t="s">
        <v>41</v>
      </c>
      <c r="D109" s="22"/>
      <c r="E109" s="22">
        <f t="shared" si="3"/>
        <v>0</v>
      </c>
      <c r="F109" s="22"/>
      <c r="G109" s="22">
        <v>51674.3946</v>
      </c>
      <c r="H109" s="22">
        <v>5248.5103799999997</v>
      </c>
      <c r="I109" s="22">
        <f t="shared" si="4"/>
        <v>56922.904979999999</v>
      </c>
      <c r="J109" s="22">
        <f t="shared" si="5"/>
        <v>56922.904979999999</v>
      </c>
      <c r="K109" s="22"/>
    </row>
    <row r="110" spans="1:11" x14ac:dyDescent="0.2">
      <c r="A110" s="15">
        <v>104</v>
      </c>
      <c r="B110" s="20">
        <v>140425</v>
      </c>
      <c r="C110" s="21" t="s">
        <v>42</v>
      </c>
      <c r="D110" s="22"/>
      <c r="E110" s="22">
        <f t="shared" si="3"/>
        <v>0</v>
      </c>
      <c r="F110" s="22"/>
      <c r="G110" s="22">
        <v>126045.81978000001</v>
      </c>
      <c r="H110" s="22">
        <v>15258.50964</v>
      </c>
      <c r="I110" s="22">
        <f t="shared" si="4"/>
        <v>141304.32941999999</v>
      </c>
      <c r="J110" s="22">
        <f t="shared" si="5"/>
        <v>141304.32941999999</v>
      </c>
      <c r="K110" s="22"/>
    </row>
    <row r="111" spans="1:11" x14ac:dyDescent="0.2">
      <c r="A111" s="15">
        <v>105</v>
      </c>
      <c r="B111" s="20">
        <v>1405</v>
      </c>
      <c r="C111" s="21" t="s">
        <v>67</v>
      </c>
      <c r="D111" s="22"/>
      <c r="E111" s="22">
        <f t="shared" si="3"/>
        <v>0</v>
      </c>
      <c r="F111" s="22"/>
      <c r="G111" s="22"/>
      <c r="H111" s="22"/>
      <c r="I111" s="22">
        <f t="shared" si="4"/>
        <v>0</v>
      </c>
      <c r="J111" s="22">
        <f t="shared" si="5"/>
        <v>0</v>
      </c>
      <c r="K111" s="22">
        <v>257687.12669</v>
      </c>
    </row>
    <row r="112" spans="1:11" x14ac:dyDescent="0.2">
      <c r="A112" s="15">
        <v>106</v>
      </c>
      <c r="B112" s="20">
        <v>140505</v>
      </c>
      <c r="C112" s="21" t="s">
        <v>38</v>
      </c>
      <c r="D112" s="22"/>
      <c r="E112" s="22">
        <f t="shared" si="3"/>
        <v>0</v>
      </c>
      <c r="F112" s="22"/>
      <c r="G112" s="22"/>
      <c r="H112" s="22"/>
      <c r="I112" s="22">
        <f t="shared" si="4"/>
        <v>0</v>
      </c>
      <c r="J112" s="22">
        <f t="shared" si="5"/>
        <v>0</v>
      </c>
      <c r="K112" s="22">
        <v>6582.4396200000001</v>
      </c>
    </row>
    <row r="113" spans="1:11" x14ac:dyDescent="0.2">
      <c r="A113" s="15">
        <v>107</v>
      </c>
      <c r="B113" s="20">
        <v>140510</v>
      </c>
      <c r="C113" s="21" t="s">
        <v>39</v>
      </c>
      <c r="D113" s="22"/>
      <c r="E113" s="22">
        <f t="shared" si="3"/>
        <v>0</v>
      </c>
      <c r="F113" s="22"/>
      <c r="G113" s="22"/>
      <c r="H113" s="22"/>
      <c r="I113" s="22">
        <f t="shared" si="4"/>
        <v>0</v>
      </c>
      <c r="J113" s="22">
        <f t="shared" si="5"/>
        <v>0</v>
      </c>
      <c r="K113" s="22">
        <v>16882.189699999999</v>
      </c>
    </row>
    <row r="114" spans="1:11" x14ac:dyDescent="0.2">
      <c r="A114" s="15">
        <v>108</v>
      </c>
      <c r="B114" s="20">
        <v>140515</v>
      </c>
      <c r="C114" s="21" t="s">
        <v>40</v>
      </c>
      <c r="D114" s="22"/>
      <c r="E114" s="22">
        <f t="shared" si="3"/>
        <v>0</v>
      </c>
      <c r="F114" s="22"/>
      <c r="G114" s="22"/>
      <c r="H114" s="22"/>
      <c r="I114" s="22">
        <f t="shared" si="4"/>
        <v>0</v>
      </c>
      <c r="J114" s="22">
        <f t="shared" si="5"/>
        <v>0</v>
      </c>
      <c r="K114" s="22">
        <v>37077.20854</v>
      </c>
    </row>
    <row r="115" spans="1:11" x14ac:dyDescent="0.2">
      <c r="A115" s="15">
        <v>109</v>
      </c>
      <c r="B115" s="20">
        <v>140520</v>
      </c>
      <c r="C115" s="21" t="s">
        <v>41</v>
      </c>
      <c r="D115" s="22"/>
      <c r="E115" s="22">
        <f t="shared" si="3"/>
        <v>0</v>
      </c>
      <c r="F115" s="22"/>
      <c r="G115" s="22"/>
      <c r="H115" s="22"/>
      <c r="I115" s="22">
        <f t="shared" si="4"/>
        <v>0</v>
      </c>
      <c r="J115" s="22">
        <f t="shared" si="5"/>
        <v>0</v>
      </c>
      <c r="K115" s="22">
        <v>47084.563179999997</v>
      </c>
    </row>
    <row r="116" spans="1:11" x14ac:dyDescent="0.2">
      <c r="A116" s="15">
        <v>110</v>
      </c>
      <c r="B116" s="20">
        <v>140525</v>
      </c>
      <c r="C116" s="21" t="s">
        <v>42</v>
      </c>
      <c r="D116" s="22"/>
      <c r="E116" s="22">
        <f t="shared" si="3"/>
        <v>0</v>
      </c>
      <c r="F116" s="22"/>
      <c r="G116" s="22"/>
      <c r="H116" s="22"/>
      <c r="I116" s="22">
        <f t="shared" si="4"/>
        <v>0</v>
      </c>
      <c r="J116" s="22">
        <f t="shared" si="5"/>
        <v>0</v>
      </c>
      <c r="K116" s="22">
        <v>150060.72565000001</v>
      </c>
    </row>
    <row r="117" spans="1:11" x14ac:dyDescent="0.2">
      <c r="A117" s="15">
        <v>111</v>
      </c>
      <c r="B117" s="20">
        <v>1406</v>
      </c>
      <c r="C117" s="21" t="s">
        <v>68</v>
      </c>
      <c r="D117" s="22"/>
      <c r="E117" s="22">
        <f t="shared" si="3"/>
        <v>0</v>
      </c>
      <c r="F117" s="22">
        <v>947585.53266999999</v>
      </c>
      <c r="G117" s="22"/>
      <c r="H117" s="22"/>
      <c r="I117" s="22">
        <f t="shared" si="4"/>
        <v>947585.53266999999</v>
      </c>
      <c r="J117" s="22">
        <f t="shared" si="5"/>
        <v>947585.53266999999</v>
      </c>
      <c r="K117" s="22"/>
    </row>
    <row r="118" spans="1:11" x14ac:dyDescent="0.2">
      <c r="A118" s="15">
        <v>112</v>
      </c>
      <c r="B118" s="20">
        <v>140605</v>
      </c>
      <c r="C118" s="21" t="s">
        <v>38</v>
      </c>
      <c r="D118" s="22"/>
      <c r="E118" s="22">
        <f t="shared" si="3"/>
        <v>0</v>
      </c>
      <c r="F118" s="22">
        <v>22216.21285</v>
      </c>
      <c r="G118" s="22"/>
      <c r="H118" s="22"/>
      <c r="I118" s="22">
        <f t="shared" si="4"/>
        <v>22216.21285</v>
      </c>
      <c r="J118" s="22">
        <f t="shared" si="5"/>
        <v>22216.21285</v>
      </c>
      <c r="K118" s="22"/>
    </row>
    <row r="119" spans="1:11" x14ac:dyDescent="0.2">
      <c r="A119" s="15">
        <v>113</v>
      </c>
      <c r="B119" s="20">
        <v>140610</v>
      </c>
      <c r="C119" s="21" t="s">
        <v>39</v>
      </c>
      <c r="D119" s="22"/>
      <c r="E119" s="22">
        <f t="shared" si="3"/>
        <v>0</v>
      </c>
      <c r="F119" s="22">
        <v>43923.507279999998</v>
      </c>
      <c r="G119" s="22"/>
      <c r="H119" s="22"/>
      <c r="I119" s="22">
        <f t="shared" si="4"/>
        <v>43923.507279999998</v>
      </c>
      <c r="J119" s="22">
        <f t="shared" si="5"/>
        <v>43923.507279999998</v>
      </c>
      <c r="K119" s="22"/>
    </row>
    <row r="120" spans="1:11" x14ac:dyDescent="0.2">
      <c r="A120" s="15">
        <v>114</v>
      </c>
      <c r="B120" s="20">
        <v>140615</v>
      </c>
      <c r="C120" s="21" t="s">
        <v>40</v>
      </c>
      <c r="D120" s="22"/>
      <c r="E120" s="22">
        <f t="shared" si="3"/>
        <v>0</v>
      </c>
      <c r="F120" s="22">
        <v>63771.103640000001</v>
      </c>
      <c r="G120" s="22"/>
      <c r="H120" s="22"/>
      <c r="I120" s="22">
        <f t="shared" si="4"/>
        <v>63771.103640000001</v>
      </c>
      <c r="J120" s="22">
        <f t="shared" si="5"/>
        <v>63771.103640000001</v>
      </c>
      <c r="K120" s="22"/>
    </row>
    <row r="121" spans="1:11" x14ac:dyDescent="0.2">
      <c r="A121" s="15">
        <v>115</v>
      </c>
      <c r="B121" s="20">
        <v>140620</v>
      </c>
      <c r="C121" s="21" t="s">
        <v>41</v>
      </c>
      <c r="D121" s="22"/>
      <c r="E121" s="22">
        <f t="shared" si="3"/>
        <v>0</v>
      </c>
      <c r="F121" s="22">
        <v>118606.46897</v>
      </c>
      <c r="G121" s="22"/>
      <c r="H121" s="22"/>
      <c r="I121" s="22">
        <f t="shared" si="4"/>
        <v>118606.46897</v>
      </c>
      <c r="J121" s="22">
        <f t="shared" si="5"/>
        <v>118606.46897</v>
      </c>
      <c r="K121" s="22"/>
    </row>
    <row r="122" spans="1:11" x14ac:dyDescent="0.2">
      <c r="A122" s="15">
        <v>116</v>
      </c>
      <c r="B122" s="20">
        <v>140625</v>
      </c>
      <c r="C122" s="21" t="s">
        <v>42</v>
      </c>
      <c r="D122" s="22"/>
      <c r="E122" s="22">
        <f t="shared" si="3"/>
        <v>0</v>
      </c>
      <c r="F122" s="22">
        <v>699068.23993000004</v>
      </c>
      <c r="G122" s="22"/>
      <c r="H122" s="22"/>
      <c r="I122" s="22">
        <f t="shared" si="4"/>
        <v>699068.23993000004</v>
      </c>
      <c r="J122" s="22">
        <f t="shared" si="5"/>
        <v>699068.23993000004</v>
      </c>
      <c r="K122" s="22"/>
    </row>
    <row r="123" spans="1:11" x14ac:dyDescent="0.2">
      <c r="A123" s="15">
        <v>117</v>
      </c>
      <c r="B123" s="20">
        <v>1409</v>
      </c>
      <c r="C123" s="21" t="s">
        <v>69</v>
      </c>
      <c r="D123" s="22">
        <v>755.70586000000003</v>
      </c>
      <c r="E123" s="22">
        <f t="shared" si="3"/>
        <v>755.70586000000003</v>
      </c>
      <c r="F123" s="22"/>
      <c r="G123" s="22">
        <v>0</v>
      </c>
      <c r="H123" s="22">
        <v>0</v>
      </c>
      <c r="I123" s="22">
        <f t="shared" si="4"/>
        <v>0</v>
      </c>
      <c r="J123" s="22">
        <f t="shared" si="5"/>
        <v>755.70586000000003</v>
      </c>
      <c r="K123" s="22"/>
    </row>
    <row r="124" spans="1:11" x14ac:dyDescent="0.2">
      <c r="A124" s="15">
        <v>118</v>
      </c>
      <c r="B124" s="20">
        <v>140905</v>
      </c>
      <c r="C124" s="21" t="s">
        <v>38</v>
      </c>
      <c r="D124" s="22">
        <v>0</v>
      </c>
      <c r="E124" s="22">
        <f t="shared" si="3"/>
        <v>0</v>
      </c>
      <c r="F124" s="22"/>
      <c r="G124" s="22">
        <v>0</v>
      </c>
      <c r="H124" s="22">
        <v>0</v>
      </c>
      <c r="I124" s="22">
        <f t="shared" si="4"/>
        <v>0</v>
      </c>
      <c r="J124" s="22">
        <f t="shared" si="5"/>
        <v>0</v>
      </c>
      <c r="K124" s="22"/>
    </row>
    <row r="125" spans="1:11" x14ac:dyDescent="0.2">
      <c r="A125" s="15">
        <v>119</v>
      </c>
      <c r="B125" s="20">
        <v>140910</v>
      </c>
      <c r="C125" s="21" t="s">
        <v>39</v>
      </c>
      <c r="D125" s="22">
        <v>0</v>
      </c>
      <c r="E125" s="22">
        <f t="shared" si="3"/>
        <v>0</v>
      </c>
      <c r="F125" s="22"/>
      <c r="G125" s="22">
        <v>0</v>
      </c>
      <c r="H125" s="22">
        <v>0</v>
      </c>
      <c r="I125" s="22">
        <f t="shared" si="4"/>
        <v>0</v>
      </c>
      <c r="J125" s="22">
        <f t="shared" si="5"/>
        <v>0</v>
      </c>
      <c r="K125" s="22"/>
    </row>
    <row r="126" spans="1:11" x14ac:dyDescent="0.2">
      <c r="A126" s="15">
        <v>120</v>
      </c>
      <c r="B126" s="20">
        <v>140915</v>
      </c>
      <c r="C126" s="21" t="s">
        <v>40</v>
      </c>
      <c r="D126" s="22">
        <v>250.52155999999999</v>
      </c>
      <c r="E126" s="22">
        <f t="shared" si="3"/>
        <v>250.52155999999999</v>
      </c>
      <c r="F126" s="22"/>
      <c r="G126" s="22">
        <v>0</v>
      </c>
      <c r="H126" s="22">
        <v>0</v>
      </c>
      <c r="I126" s="22">
        <f t="shared" si="4"/>
        <v>0</v>
      </c>
      <c r="J126" s="22">
        <f t="shared" si="5"/>
        <v>250.52155999999999</v>
      </c>
      <c r="K126" s="22"/>
    </row>
    <row r="127" spans="1:11" x14ac:dyDescent="0.2">
      <c r="A127" s="15">
        <v>121</v>
      </c>
      <c r="B127" s="20">
        <v>140920</v>
      </c>
      <c r="C127" s="21" t="s">
        <v>41</v>
      </c>
      <c r="D127" s="22">
        <v>505.18430000000001</v>
      </c>
      <c r="E127" s="22">
        <f t="shared" si="3"/>
        <v>505.18430000000001</v>
      </c>
      <c r="F127" s="22"/>
      <c r="G127" s="22">
        <v>0</v>
      </c>
      <c r="H127" s="22">
        <v>0</v>
      </c>
      <c r="I127" s="22">
        <f t="shared" si="4"/>
        <v>0</v>
      </c>
      <c r="J127" s="22">
        <f t="shared" si="5"/>
        <v>505.18430000000001</v>
      </c>
      <c r="K127" s="22"/>
    </row>
    <row r="128" spans="1:11" x14ac:dyDescent="0.2">
      <c r="A128" s="15">
        <v>122</v>
      </c>
      <c r="B128" s="20">
        <v>140925</v>
      </c>
      <c r="C128" s="21" t="s">
        <v>42</v>
      </c>
      <c r="D128" s="22">
        <v>0</v>
      </c>
      <c r="E128" s="22">
        <f t="shared" si="3"/>
        <v>0</v>
      </c>
      <c r="F128" s="22"/>
      <c r="G128" s="22">
        <v>0</v>
      </c>
      <c r="H128" s="22">
        <v>0</v>
      </c>
      <c r="I128" s="22">
        <f t="shared" si="4"/>
        <v>0</v>
      </c>
      <c r="J128" s="22">
        <f t="shared" si="5"/>
        <v>0</v>
      </c>
      <c r="K128" s="22"/>
    </row>
    <row r="129" spans="1:11" x14ac:dyDescent="0.2">
      <c r="A129" s="15">
        <v>123</v>
      </c>
      <c r="B129" s="20">
        <v>1410</v>
      </c>
      <c r="C129" s="21" t="s">
        <v>70</v>
      </c>
      <c r="D129" s="22">
        <v>0</v>
      </c>
      <c r="E129" s="22">
        <f t="shared" si="3"/>
        <v>0</v>
      </c>
      <c r="F129" s="22">
        <v>0</v>
      </c>
      <c r="G129" s="22">
        <v>0</v>
      </c>
      <c r="H129" s="22">
        <v>0</v>
      </c>
      <c r="I129" s="22">
        <f t="shared" si="4"/>
        <v>0</v>
      </c>
      <c r="J129" s="22">
        <f t="shared" si="5"/>
        <v>0</v>
      </c>
      <c r="K129" s="22"/>
    </row>
    <row r="130" spans="1:11" x14ac:dyDescent="0.2">
      <c r="A130" s="15">
        <v>124</v>
      </c>
      <c r="B130" s="20">
        <v>141005</v>
      </c>
      <c r="C130" s="21" t="s">
        <v>38</v>
      </c>
      <c r="D130" s="22">
        <v>0</v>
      </c>
      <c r="E130" s="22">
        <f t="shared" si="3"/>
        <v>0</v>
      </c>
      <c r="F130" s="22">
        <v>0</v>
      </c>
      <c r="G130" s="22">
        <v>0</v>
      </c>
      <c r="H130" s="22">
        <v>0</v>
      </c>
      <c r="I130" s="22">
        <f t="shared" si="4"/>
        <v>0</v>
      </c>
      <c r="J130" s="22">
        <f t="shared" si="5"/>
        <v>0</v>
      </c>
      <c r="K130" s="22"/>
    </row>
    <row r="131" spans="1:11" x14ac:dyDescent="0.2">
      <c r="A131" s="15">
        <v>125</v>
      </c>
      <c r="B131" s="20">
        <v>141010</v>
      </c>
      <c r="C131" s="21" t="s">
        <v>39</v>
      </c>
      <c r="D131" s="22">
        <v>0</v>
      </c>
      <c r="E131" s="22">
        <f t="shared" si="3"/>
        <v>0</v>
      </c>
      <c r="F131" s="22">
        <v>0</v>
      </c>
      <c r="G131" s="22">
        <v>0</v>
      </c>
      <c r="H131" s="22">
        <v>0</v>
      </c>
      <c r="I131" s="22">
        <f t="shared" si="4"/>
        <v>0</v>
      </c>
      <c r="J131" s="22">
        <f t="shared" si="5"/>
        <v>0</v>
      </c>
      <c r="K131" s="22"/>
    </row>
    <row r="132" spans="1:11" x14ac:dyDescent="0.2">
      <c r="A132" s="15">
        <v>126</v>
      </c>
      <c r="B132" s="20">
        <v>141015</v>
      </c>
      <c r="C132" s="21" t="s">
        <v>40</v>
      </c>
      <c r="D132" s="22">
        <v>0</v>
      </c>
      <c r="E132" s="22">
        <f t="shared" si="3"/>
        <v>0</v>
      </c>
      <c r="F132" s="22">
        <v>0</v>
      </c>
      <c r="G132" s="22">
        <v>0</v>
      </c>
      <c r="H132" s="22">
        <v>0</v>
      </c>
      <c r="I132" s="22">
        <f t="shared" si="4"/>
        <v>0</v>
      </c>
      <c r="J132" s="22">
        <f t="shared" si="5"/>
        <v>0</v>
      </c>
      <c r="K132" s="22"/>
    </row>
    <row r="133" spans="1:11" x14ac:dyDescent="0.2">
      <c r="A133" s="15">
        <v>127</v>
      </c>
      <c r="B133" s="20">
        <v>141020</v>
      </c>
      <c r="C133" s="21" t="s">
        <v>41</v>
      </c>
      <c r="D133" s="22">
        <v>0</v>
      </c>
      <c r="E133" s="22">
        <f t="shared" si="3"/>
        <v>0</v>
      </c>
      <c r="F133" s="22">
        <v>0</v>
      </c>
      <c r="G133" s="22">
        <v>0</v>
      </c>
      <c r="H133" s="22">
        <v>0</v>
      </c>
      <c r="I133" s="22">
        <f t="shared" si="4"/>
        <v>0</v>
      </c>
      <c r="J133" s="22">
        <f t="shared" si="5"/>
        <v>0</v>
      </c>
      <c r="K133" s="22"/>
    </row>
    <row r="134" spans="1:11" x14ac:dyDescent="0.2">
      <c r="A134" s="15">
        <v>128</v>
      </c>
      <c r="B134" s="20">
        <v>141025</v>
      </c>
      <c r="C134" s="21" t="s">
        <v>42</v>
      </c>
      <c r="D134" s="22">
        <v>0</v>
      </c>
      <c r="E134" s="22">
        <f t="shared" si="3"/>
        <v>0</v>
      </c>
      <c r="F134" s="22">
        <v>0</v>
      </c>
      <c r="G134" s="22">
        <v>0</v>
      </c>
      <c r="H134" s="22">
        <v>0</v>
      </c>
      <c r="I134" s="22">
        <f t="shared" si="4"/>
        <v>0</v>
      </c>
      <c r="J134" s="22">
        <f t="shared" si="5"/>
        <v>0</v>
      </c>
      <c r="K134" s="22"/>
    </row>
    <row r="135" spans="1:11" x14ac:dyDescent="0.2">
      <c r="A135" s="15">
        <v>129</v>
      </c>
      <c r="B135" s="20">
        <v>1411</v>
      </c>
      <c r="C135" s="21" t="s">
        <v>71</v>
      </c>
      <c r="D135" s="22">
        <v>0</v>
      </c>
      <c r="E135" s="22">
        <f t="shared" si="3"/>
        <v>0</v>
      </c>
      <c r="F135" s="22"/>
      <c r="G135" s="22"/>
      <c r="H135" s="22"/>
      <c r="I135" s="22">
        <f t="shared" si="4"/>
        <v>0</v>
      </c>
      <c r="J135" s="22">
        <f t="shared" si="5"/>
        <v>0</v>
      </c>
      <c r="K135" s="22"/>
    </row>
    <row r="136" spans="1:11" x14ac:dyDescent="0.2">
      <c r="A136" s="15">
        <v>130</v>
      </c>
      <c r="B136" s="20">
        <v>141105</v>
      </c>
      <c r="C136" s="21" t="s">
        <v>38</v>
      </c>
      <c r="D136" s="22">
        <v>0</v>
      </c>
      <c r="E136" s="22">
        <f t="shared" si="3"/>
        <v>0</v>
      </c>
      <c r="F136" s="22"/>
      <c r="G136" s="22"/>
      <c r="H136" s="22"/>
      <c r="I136" s="22">
        <f t="shared" si="4"/>
        <v>0</v>
      </c>
      <c r="J136" s="22">
        <f t="shared" si="5"/>
        <v>0</v>
      </c>
      <c r="K136" s="22"/>
    </row>
    <row r="137" spans="1:11" x14ac:dyDescent="0.2">
      <c r="A137" s="15">
        <v>131</v>
      </c>
      <c r="B137" s="20">
        <v>141110</v>
      </c>
      <c r="C137" s="21" t="s">
        <v>39</v>
      </c>
      <c r="D137" s="22">
        <v>0</v>
      </c>
      <c r="E137" s="22">
        <f t="shared" si="3"/>
        <v>0</v>
      </c>
      <c r="F137" s="22"/>
      <c r="G137" s="22"/>
      <c r="H137" s="22"/>
      <c r="I137" s="22">
        <f t="shared" si="4"/>
        <v>0</v>
      </c>
      <c r="J137" s="22">
        <f t="shared" si="5"/>
        <v>0</v>
      </c>
      <c r="K137" s="22"/>
    </row>
    <row r="138" spans="1:11" x14ac:dyDescent="0.2">
      <c r="A138" s="15">
        <v>132</v>
      </c>
      <c r="B138" s="20">
        <v>141115</v>
      </c>
      <c r="C138" s="21" t="s">
        <v>40</v>
      </c>
      <c r="D138" s="22">
        <v>0</v>
      </c>
      <c r="E138" s="22">
        <f t="shared" ref="E138:E201" si="6">+D138</f>
        <v>0</v>
      </c>
      <c r="F138" s="22"/>
      <c r="G138" s="22"/>
      <c r="H138" s="22"/>
      <c r="I138" s="22">
        <f t="shared" ref="I138:I201" si="7">+SUM(F138:H138)</f>
        <v>0</v>
      </c>
      <c r="J138" s="22">
        <f t="shared" ref="J138:J201" si="8">+E138+I138</f>
        <v>0</v>
      </c>
      <c r="K138" s="22"/>
    </row>
    <row r="139" spans="1:11" x14ac:dyDescent="0.2">
      <c r="A139" s="15">
        <v>133</v>
      </c>
      <c r="B139" s="20">
        <v>141120</v>
      </c>
      <c r="C139" s="21" t="s">
        <v>41</v>
      </c>
      <c r="D139" s="22">
        <v>0</v>
      </c>
      <c r="E139" s="22">
        <f t="shared" si="6"/>
        <v>0</v>
      </c>
      <c r="F139" s="22"/>
      <c r="G139" s="22"/>
      <c r="H139" s="22"/>
      <c r="I139" s="22">
        <f t="shared" si="7"/>
        <v>0</v>
      </c>
      <c r="J139" s="22">
        <f t="shared" si="8"/>
        <v>0</v>
      </c>
      <c r="K139" s="22"/>
    </row>
    <row r="140" spans="1:11" x14ac:dyDescent="0.2">
      <c r="A140" s="15">
        <v>134</v>
      </c>
      <c r="B140" s="20">
        <v>141125</v>
      </c>
      <c r="C140" s="21" t="s">
        <v>42</v>
      </c>
      <c r="D140" s="22">
        <v>0</v>
      </c>
      <c r="E140" s="22">
        <f t="shared" si="6"/>
        <v>0</v>
      </c>
      <c r="F140" s="22"/>
      <c r="G140" s="22"/>
      <c r="H140" s="22"/>
      <c r="I140" s="22">
        <f t="shared" si="7"/>
        <v>0</v>
      </c>
      <c r="J140" s="22">
        <f t="shared" si="8"/>
        <v>0</v>
      </c>
      <c r="K140" s="22"/>
    </row>
    <row r="141" spans="1:11" x14ac:dyDescent="0.2">
      <c r="A141" s="15">
        <v>135</v>
      </c>
      <c r="B141" s="20">
        <v>1412</v>
      </c>
      <c r="C141" s="21" t="s">
        <v>72</v>
      </c>
      <c r="D141" s="22"/>
      <c r="E141" s="22">
        <f t="shared" si="6"/>
        <v>0</v>
      </c>
      <c r="F141" s="22"/>
      <c r="G141" s="22">
        <v>0</v>
      </c>
      <c r="H141" s="22">
        <v>0</v>
      </c>
      <c r="I141" s="22">
        <f t="shared" si="7"/>
        <v>0</v>
      </c>
      <c r="J141" s="22">
        <f t="shared" si="8"/>
        <v>0</v>
      </c>
      <c r="K141" s="22"/>
    </row>
    <row r="142" spans="1:11" x14ac:dyDescent="0.2">
      <c r="A142" s="15">
        <v>136</v>
      </c>
      <c r="B142" s="20">
        <v>141205</v>
      </c>
      <c r="C142" s="21" t="s">
        <v>38</v>
      </c>
      <c r="D142" s="22"/>
      <c r="E142" s="22">
        <f t="shared" si="6"/>
        <v>0</v>
      </c>
      <c r="F142" s="22"/>
      <c r="G142" s="22">
        <v>0</v>
      </c>
      <c r="H142" s="22">
        <v>0</v>
      </c>
      <c r="I142" s="22">
        <f t="shared" si="7"/>
        <v>0</v>
      </c>
      <c r="J142" s="22">
        <f t="shared" si="8"/>
        <v>0</v>
      </c>
      <c r="K142" s="22"/>
    </row>
    <row r="143" spans="1:11" x14ac:dyDescent="0.2">
      <c r="A143" s="15">
        <v>137</v>
      </c>
      <c r="B143" s="20">
        <v>141210</v>
      </c>
      <c r="C143" s="21" t="s">
        <v>39</v>
      </c>
      <c r="D143" s="22"/>
      <c r="E143" s="22">
        <f t="shared" si="6"/>
        <v>0</v>
      </c>
      <c r="F143" s="22"/>
      <c r="G143" s="22">
        <v>0</v>
      </c>
      <c r="H143" s="22">
        <v>0</v>
      </c>
      <c r="I143" s="22">
        <f t="shared" si="7"/>
        <v>0</v>
      </c>
      <c r="J143" s="22">
        <f t="shared" si="8"/>
        <v>0</v>
      </c>
      <c r="K143" s="22"/>
    </row>
    <row r="144" spans="1:11" x14ac:dyDescent="0.2">
      <c r="A144" s="15">
        <v>138</v>
      </c>
      <c r="B144" s="20">
        <v>141215</v>
      </c>
      <c r="C144" s="21" t="s">
        <v>40</v>
      </c>
      <c r="D144" s="22"/>
      <c r="E144" s="22">
        <f t="shared" si="6"/>
        <v>0</v>
      </c>
      <c r="F144" s="22"/>
      <c r="G144" s="22">
        <v>0</v>
      </c>
      <c r="H144" s="22">
        <v>0</v>
      </c>
      <c r="I144" s="22">
        <f t="shared" si="7"/>
        <v>0</v>
      </c>
      <c r="J144" s="22">
        <f t="shared" si="8"/>
        <v>0</v>
      </c>
      <c r="K144" s="22"/>
    </row>
    <row r="145" spans="1:11" x14ac:dyDescent="0.2">
      <c r="A145" s="15">
        <v>139</v>
      </c>
      <c r="B145" s="20">
        <v>141220</v>
      </c>
      <c r="C145" s="21" t="s">
        <v>41</v>
      </c>
      <c r="D145" s="22"/>
      <c r="E145" s="22">
        <f t="shared" si="6"/>
        <v>0</v>
      </c>
      <c r="F145" s="22"/>
      <c r="G145" s="22">
        <v>0</v>
      </c>
      <c r="H145" s="22">
        <v>0</v>
      </c>
      <c r="I145" s="22">
        <f t="shared" si="7"/>
        <v>0</v>
      </c>
      <c r="J145" s="22">
        <f t="shared" si="8"/>
        <v>0</v>
      </c>
      <c r="K145" s="22"/>
    </row>
    <row r="146" spans="1:11" x14ac:dyDescent="0.2">
      <c r="A146" s="15">
        <v>140</v>
      </c>
      <c r="B146" s="20">
        <v>141225</v>
      </c>
      <c r="C146" s="21" t="s">
        <v>42</v>
      </c>
      <c r="D146" s="22"/>
      <c r="E146" s="22">
        <f t="shared" si="6"/>
        <v>0</v>
      </c>
      <c r="F146" s="22"/>
      <c r="G146" s="22">
        <v>0</v>
      </c>
      <c r="H146" s="22">
        <v>0</v>
      </c>
      <c r="I146" s="22">
        <f t="shared" si="7"/>
        <v>0</v>
      </c>
      <c r="J146" s="22">
        <f t="shared" si="8"/>
        <v>0</v>
      </c>
      <c r="K146" s="22"/>
    </row>
    <row r="147" spans="1:11" x14ac:dyDescent="0.2">
      <c r="A147" s="15">
        <v>141</v>
      </c>
      <c r="B147" s="20">
        <v>1413</v>
      </c>
      <c r="C147" s="21" t="s">
        <v>73</v>
      </c>
      <c r="D147" s="22"/>
      <c r="E147" s="22">
        <f t="shared" si="6"/>
        <v>0</v>
      </c>
      <c r="F147" s="22"/>
      <c r="G147" s="22"/>
      <c r="H147" s="22"/>
      <c r="I147" s="22">
        <f t="shared" si="7"/>
        <v>0</v>
      </c>
      <c r="J147" s="22">
        <f t="shared" si="8"/>
        <v>0</v>
      </c>
      <c r="K147" s="22">
        <v>0</v>
      </c>
    </row>
    <row r="148" spans="1:11" x14ac:dyDescent="0.2">
      <c r="A148" s="15">
        <v>142</v>
      </c>
      <c r="B148" s="20">
        <v>141305</v>
      </c>
      <c r="C148" s="21" t="s">
        <v>38</v>
      </c>
      <c r="D148" s="22"/>
      <c r="E148" s="22">
        <f t="shared" si="6"/>
        <v>0</v>
      </c>
      <c r="F148" s="22"/>
      <c r="G148" s="22"/>
      <c r="H148" s="22"/>
      <c r="I148" s="22">
        <f t="shared" si="7"/>
        <v>0</v>
      </c>
      <c r="J148" s="22">
        <f t="shared" si="8"/>
        <v>0</v>
      </c>
      <c r="K148" s="22">
        <v>0</v>
      </c>
    </row>
    <row r="149" spans="1:11" x14ac:dyDescent="0.2">
      <c r="A149" s="15">
        <v>143</v>
      </c>
      <c r="B149" s="20">
        <v>141310</v>
      </c>
      <c r="C149" s="21" t="s">
        <v>39</v>
      </c>
      <c r="D149" s="22"/>
      <c r="E149" s="22">
        <f t="shared" si="6"/>
        <v>0</v>
      </c>
      <c r="F149" s="22"/>
      <c r="G149" s="22"/>
      <c r="H149" s="22"/>
      <c r="I149" s="22">
        <f t="shared" si="7"/>
        <v>0</v>
      </c>
      <c r="J149" s="22">
        <f t="shared" si="8"/>
        <v>0</v>
      </c>
      <c r="K149" s="22">
        <v>0</v>
      </c>
    </row>
    <row r="150" spans="1:11" x14ac:dyDescent="0.2">
      <c r="A150" s="15">
        <v>144</v>
      </c>
      <c r="B150" s="20">
        <v>141315</v>
      </c>
      <c r="C150" s="21" t="s">
        <v>40</v>
      </c>
      <c r="D150" s="22"/>
      <c r="E150" s="22">
        <f t="shared" si="6"/>
        <v>0</v>
      </c>
      <c r="F150" s="22"/>
      <c r="G150" s="22"/>
      <c r="H150" s="22"/>
      <c r="I150" s="22">
        <f t="shared" si="7"/>
        <v>0</v>
      </c>
      <c r="J150" s="22">
        <f t="shared" si="8"/>
        <v>0</v>
      </c>
      <c r="K150" s="22">
        <v>0</v>
      </c>
    </row>
    <row r="151" spans="1:11" x14ac:dyDescent="0.2">
      <c r="A151" s="15">
        <v>145</v>
      </c>
      <c r="B151" s="20">
        <v>141320</v>
      </c>
      <c r="C151" s="21" t="s">
        <v>41</v>
      </c>
      <c r="D151" s="22"/>
      <c r="E151" s="22">
        <f t="shared" si="6"/>
        <v>0</v>
      </c>
      <c r="F151" s="22"/>
      <c r="G151" s="22"/>
      <c r="H151" s="22"/>
      <c r="I151" s="22">
        <f t="shared" si="7"/>
        <v>0</v>
      </c>
      <c r="J151" s="22">
        <f t="shared" si="8"/>
        <v>0</v>
      </c>
      <c r="K151" s="22">
        <v>0</v>
      </c>
    </row>
    <row r="152" spans="1:11" x14ac:dyDescent="0.2">
      <c r="A152" s="15">
        <v>146</v>
      </c>
      <c r="B152" s="20">
        <v>141325</v>
      </c>
      <c r="C152" s="21" t="s">
        <v>42</v>
      </c>
      <c r="D152" s="22"/>
      <c r="E152" s="22">
        <f t="shared" si="6"/>
        <v>0</v>
      </c>
      <c r="F152" s="22"/>
      <c r="G152" s="22"/>
      <c r="H152" s="22"/>
      <c r="I152" s="22">
        <f t="shared" si="7"/>
        <v>0</v>
      </c>
      <c r="J152" s="22">
        <f t="shared" si="8"/>
        <v>0</v>
      </c>
      <c r="K152" s="22">
        <v>0</v>
      </c>
    </row>
    <row r="153" spans="1:11" x14ac:dyDescent="0.2">
      <c r="A153" s="15">
        <v>147</v>
      </c>
      <c r="B153" s="20">
        <v>1414</v>
      </c>
      <c r="C153" s="21" t="s">
        <v>74</v>
      </c>
      <c r="D153" s="22"/>
      <c r="E153" s="22">
        <f t="shared" si="6"/>
        <v>0</v>
      </c>
      <c r="F153" s="22">
        <v>0</v>
      </c>
      <c r="G153" s="22"/>
      <c r="H153" s="22"/>
      <c r="I153" s="22">
        <f t="shared" si="7"/>
        <v>0</v>
      </c>
      <c r="J153" s="22">
        <f t="shared" si="8"/>
        <v>0</v>
      </c>
      <c r="K153" s="22"/>
    </row>
    <row r="154" spans="1:11" x14ac:dyDescent="0.2">
      <c r="A154" s="15">
        <v>148</v>
      </c>
      <c r="B154" s="20">
        <v>141405</v>
      </c>
      <c r="C154" s="21" t="s">
        <v>38</v>
      </c>
      <c r="D154" s="22"/>
      <c r="E154" s="22">
        <f t="shared" si="6"/>
        <v>0</v>
      </c>
      <c r="F154" s="22">
        <v>0</v>
      </c>
      <c r="G154" s="22"/>
      <c r="H154" s="22"/>
      <c r="I154" s="22">
        <f t="shared" si="7"/>
        <v>0</v>
      </c>
      <c r="J154" s="22">
        <f t="shared" si="8"/>
        <v>0</v>
      </c>
      <c r="K154" s="22"/>
    </row>
    <row r="155" spans="1:11" x14ac:dyDescent="0.2">
      <c r="A155" s="15">
        <v>149</v>
      </c>
      <c r="B155" s="20">
        <v>141410</v>
      </c>
      <c r="C155" s="21" t="s">
        <v>39</v>
      </c>
      <c r="D155" s="22"/>
      <c r="E155" s="22">
        <f t="shared" si="6"/>
        <v>0</v>
      </c>
      <c r="F155" s="22">
        <v>0</v>
      </c>
      <c r="G155" s="22"/>
      <c r="H155" s="22"/>
      <c r="I155" s="22">
        <f t="shared" si="7"/>
        <v>0</v>
      </c>
      <c r="J155" s="22">
        <f t="shared" si="8"/>
        <v>0</v>
      </c>
      <c r="K155" s="22"/>
    </row>
    <row r="156" spans="1:11" x14ac:dyDescent="0.2">
      <c r="A156" s="15">
        <v>150</v>
      </c>
      <c r="B156" s="20">
        <v>141415</v>
      </c>
      <c r="C156" s="21" t="s">
        <v>40</v>
      </c>
      <c r="D156" s="22"/>
      <c r="E156" s="22">
        <f t="shared" si="6"/>
        <v>0</v>
      </c>
      <c r="F156" s="22">
        <v>0</v>
      </c>
      <c r="G156" s="22"/>
      <c r="H156" s="22"/>
      <c r="I156" s="22">
        <f t="shared" si="7"/>
        <v>0</v>
      </c>
      <c r="J156" s="22">
        <f t="shared" si="8"/>
        <v>0</v>
      </c>
      <c r="K156" s="22"/>
    </row>
    <row r="157" spans="1:11" x14ac:dyDescent="0.2">
      <c r="A157" s="15">
        <v>151</v>
      </c>
      <c r="B157" s="20">
        <v>141420</v>
      </c>
      <c r="C157" s="21" t="s">
        <v>41</v>
      </c>
      <c r="D157" s="22"/>
      <c r="E157" s="22">
        <f t="shared" si="6"/>
        <v>0</v>
      </c>
      <c r="F157" s="22">
        <v>0</v>
      </c>
      <c r="G157" s="22"/>
      <c r="H157" s="22"/>
      <c r="I157" s="22">
        <f t="shared" si="7"/>
        <v>0</v>
      </c>
      <c r="J157" s="22">
        <f t="shared" si="8"/>
        <v>0</v>
      </c>
      <c r="K157" s="22"/>
    </row>
    <row r="158" spans="1:11" x14ac:dyDescent="0.2">
      <c r="A158" s="15">
        <v>152</v>
      </c>
      <c r="B158" s="20">
        <v>141425</v>
      </c>
      <c r="C158" s="21" t="s">
        <v>42</v>
      </c>
      <c r="D158" s="22"/>
      <c r="E158" s="22">
        <f t="shared" si="6"/>
        <v>0</v>
      </c>
      <c r="F158" s="22">
        <v>0</v>
      </c>
      <c r="G158" s="22"/>
      <c r="H158" s="22"/>
      <c r="I158" s="22">
        <f t="shared" si="7"/>
        <v>0</v>
      </c>
      <c r="J158" s="22">
        <f t="shared" si="8"/>
        <v>0</v>
      </c>
      <c r="K158" s="22"/>
    </row>
    <row r="159" spans="1:11" x14ac:dyDescent="0.2">
      <c r="A159" s="15">
        <v>153</v>
      </c>
      <c r="B159" s="20">
        <v>1417</v>
      </c>
      <c r="C159" s="21" t="s">
        <v>75</v>
      </c>
      <c r="D159" s="22">
        <v>0</v>
      </c>
      <c r="E159" s="22">
        <f t="shared" si="6"/>
        <v>0</v>
      </c>
      <c r="F159" s="22"/>
      <c r="G159" s="22">
        <v>14570.55891</v>
      </c>
      <c r="H159" s="22">
        <v>9270.1862099999998</v>
      </c>
      <c r="I159" s="22">
        <f t="shared" si="7"/>
        <v>23840.74512</v>
      </c>
      <c r="J159" s="22">
        <f t="shared" si="8"/>
        <v>23840.74512</v>
      </c>
      <c r="K159" s="22"/>
    </row>
    <row r="160" spans="1:11" x14ac:dyDescent="0.2">
      <c r="A160" s="15">
        <v>154</v>
      </c>
      <c r="B160" s="20">
        <v>141705</v>
      </c>
      <c r="C160" s="21" t="s">
        <v>38</v>
      </c>
      <c r="D160" s="22">
        <v>0</v>
      </c>
      <c r="E160" s="22">
        <f t="shared" si="6"/>
        <v>0</v>
      </c>
      <c r="F160" s="22"/>
      <c r="G160" s="22">
        <v>1345.8372199999999</v>
      </c>
      <c r="H160" s="22">
        <v>160.06805</v>
      </c>
      <c r="I160" s="22">
        <f t="shared" si="7"/>
        <v>1505.90527</v>
      </c>
      <c r="J160" s="22">
        <f t="shared" si="8"/>
        <v>1505.90527</v>
      </c>
      <c r="K160" s="22"/>
    </row>
    <row r="161" spans="1:11" x14ac:dyDescent="0.2">
      <c r="A161" s="15">
        <v>155</v>
      </c>
      <c r="B161" s="20">
        <v>141710</v>
      </c>
      <c r="C161" s="21" t="s">
        <v>39</v>
      </c>
      <c r="D161" s="22">
        <v>0</v>
      </c>
      <c r="E161" s="22">
        <f t="shared" si="6"/>
        <v>0</v>
      </c>
      <c r="F161" s="22"/>
      <c r="G161" s="22">
        <v>956.74041</v>
      </c>
      <c r="H161" s="22">
        <v>543.2165</v>
      </c>
      <c r="I161" s="22">
        <f t="shared" si="7"/>
        <v>1499.9569099999999</v>
      </c>
      <c r="J161" s="22">
        <f t="shared" si="8"/>
        <v>1499.9569099999999</v>
      </c>
      <c r="K161" s="22"/>
    </row>
    <row r="162" spans="1:11" x14ac:dyDescent="0.2">
      <c r="A162" s="15">
        <v>156</v>
      </c>
      <c r="B162" s="20">
        <v>141715</v>
      </c>
      <c r="C162" s="21" t="s">
        <v>40</v>
      </c>
      <c r="D162" s="22">
        <v>0</v>
      </c>
      <c r="E162" s="22">
        <f t="shared" si="6"/>
        <v>0</v>
      </c>
      <c r="F162" s="22"/>
      <c r="G162" s="22">
        <v>1383.05663</v>
      </c>
      <c r="H162" s="22">
        <v>488.56322</v>
      </c>
      <c r="I162" s="22">
        <f t="shared" si="7"/>
        <v>1871.61985</v>
      </c>
      <c r="J162" s="22">
        <f t="shared" si="8"/>
        <v>1871.61985</v>
      </c>
      <c r="K162" s="22"/>
    </row>
    <row r="163" spans="1:11" x14ac:dyDescent="0.2">
      <c r="A163" s="15">
        <v>157</v>
      </c>
      <c r="B163" s="20">
        <v>141720</v>
      </c>
      <c r="C163" s="21" t="s">
        <v>41</v>
      </c>
      <c r="D163" s="22">
        <v>0</v>
      </c>
      <c r="E163" s="22">
        <f t="shared" si="6"/>
        <v>0</v>
      </c>
      <c r="F163" s="22"/>
      <c r="G163" s="22">
        <v>2919.3153000000002</v>
      </c>
      <c r="H163" s="22">
        <v>1135.00441</v>
      </c>
      <c r="I163" s="22">
        <f t="shared" si="7"/>
        <v>4054.3197100000002</v>
      </c>
      <c r="J163" s="22">
        <f t="shared" si="8"/>
        <v>4054.3197100000002</v>
      </c>
      <c r="K163" s="22"/>
    </row>
    <row r="164" spans="1:11" x14ac:dyDescent="0.2">
      <c r="A164" s="15">
        <v>158</v>
      </c>
      <c r="B164" s="20">
        <v>141725</v>
      </c>
      <c r="C164" s="21" t="s">
        <v>42</v>
      </c>
      <c r="D164" s="22">
        <v>0</v>
      </c>
      <c r="E164" s="22">
        <f t="shared" si="6"/>
        <v>0</v>
      </c>
      <c r="F164" s="22"/>
      <c r="G164" s="22">
        <v>7965.6093499999997</v>
      </c>
      <c r="H164" s="22">
        <v>6943.33403</v>
      </c>
      <c r="I164" s="22">
        <f t="shared" si="7"/>
        <v>14908.943380000001</v>
      </c>
      <c r="J164" s="22">
        <f t="shared" si="8"/>
        <v>14908.943380000001</v>
      </c>
      <c r="K164" s="22"/>
    </row>
    <row r="165" spans="1:11" x14ac:dyDescent="0.2">
      <c r="A165" s="15">
        <v>159</v>
      </c>
      <c r="B165" s="20">
        <v>1418</v>
      </c>
      <c r="C165" s="21" t="s">
        <v>76</v>
      </c>
      <c r="D165" s="22">
        <v>0</v>
      </c>
      <c r="E165" s="22">
        <f t="shared" si="6"/>
        <v>0</v>
      </c>
      <c r="F165" s="22">
        <v>0</v>
      </c>
      <c r="G165" s="22">
        <v>43.371299999999998</v>
      </c>
      <c r="H165" s="22">
        <v>0</v>
      </c>
      <c r="I165" s="22">
        <f t="shared" si="7"/>
        <v>43.371299999999998</v>
      </c>
      <c r="J165" s="22">
        <f t="shared" si="8"/>
        <v>43.371299999999998</v>
      </c>
      <c r="K165" s="22"/>
    </row>
    <row r="166" spans="1:11" x14ac:dyDescent="0.2">
      <c r="A166" s="15">
        <v>160</v>
      </c>
      <c r="B166" s="20">
        <v>141805</v>
      </c>
      <c r="C166" s="21" t="s">
        <v>38</v>
      </c>
      <c r="D166" s="22">
        <v>0</v>
      </c>
      <c r="E166" s="22">
        <f t="shared" si="6"/>
        <v>0</v>
      </c>
      <c r="F166" s="22">
        <v>0</v>
      </c>
      <c r="G166" s="22">
        <v>2.8347000000000002</v>
      </c>
      <c r="H166" s="22">
        <v>0</v>
      </c>
      <c r="I166" s="22">
        <f t="shared" si="7"/>
        <v>2.8347000000000002</v>
      </c>
      <c r="J166" s="22">
        <f t="shared" si="8"/>
        <v>2.8347000000000002</v>
      </c>
      <c r="K166" s="22"/>
    </row>
    <row r="167" spans="1:11" x14ac:dyDescent="0.2">
      <c r="A167" s="15">
        <v>161</v>
      </c>
      <c r="B167" s="20">
        <v>141810</v>
      </c>
      <c r="C167" s="21" t="s">
        <v>39</v>
      </c>
      <c r="D167" s="22">
        <v>0</v>
      </c>
      <c r="E167" s="22">
        <f t="shared" si="6"/>
        <v>0</v>
      </c>
      <c r="F167" s="22">
        <v>0</v>
      </c>
      <c r="G167" s="22">
        <v>3.4591799999999999</v>
      </c>
      <c r="H167" s="22">
        <v>0</v>
      </c>
      <c r="I167" s="22">
        <f t="shared" si="7"/>
        <v>3.4591799999999999</v>
      </c>
      <c r="J167" s="22">
        <f t="shared" si="8"/>
        <v>3.4591799999999999</v>
      </c>
      <c r="K167" s="22"/>
    </row>
    <row r="168" spans="1:11" x14ac:dyDescent="0.2">
      <c r="A168" s="15">
        <v>162</v>
      </c>
      <c r="B168" s="20">
        <v>141815</v>
      </c>
      <c r="C168" s="21" t="s">
        <v>40</v>
      </c>
      <c r="D168" s="22">
        <v>0</v>
      </c>
      <c r="E168" s="22">
        <f t="shared" si="6"/>
        <v>0</v>
      </c>
      <c r="F168" s="22">
        <v>0</v>
      </c>
      <c r="G168" s="22">
        <v>7.5662900000000004</v>
      </c>
      <c r="H168" s="22">
        <v>0</v>
      </c>
      <c r="I168" s="22">
        <f t="shared" si="7"/>
        <v>7.5662900000000004</v>
      </c>
      <c r="J168" s="22">
        <f t="shared" si="8"/>
        <v>7.5662900000000004</v>
      </c>
      <c r="K168" s="22"/>
    </row>
    <row r="169" spans="1:11" x14ac:dyDescent="0.2">
      <c r="A169" s="15">
        <v>163</v>
      </c>
      <c r="B169" s="20">
        <v>141820</v>
      </c>
      <c r="C169" s="21" t="s">
        <v>41</v>
      </c>
      <c r="D169" s="22">
        <v>0</v>
      </c>
      <c r="E169" s="22">
        <f t="shared" si="6"/>
        <v>0</v>
      </c>
      <c r="F169" s="22">
        <v>0</v>
      </c>
      <c r="G169" s="22">
        <v>10.98222</v>
      </c>
      <c r="H169" s="22">
        <v>0</v>
      </c>
      <c r="I169" s="22">
        <f t="shared" si="7"/>
        <v>10.98222</v>
      </c>
      <c r="J169" s="22">
        <f t="shared" si="8"/>
        <v>10.98222</v>
      </c>
      <c r="K169" s="22"/>
    </row>
    <row r="170" spans="1:11" x14ac:dyDescent="0.2">
      <c r="A170" s="15">
        <v>164</v>
      </c>
      <c r="B170" s="20">
        <v>141825</v>
      </c>
      <c r="C170" s="21" t="s">
        <v>42</v>
      </c>
      <c r="D170" s="22">
        <v>0</v>
      </c>
      <c r="E170" s="22">
        <f t="shared" si="6"/>
        <v>0</v>
      </c>
      <c r="F170" s="22">
        <v>0</v>
      </c>
      <c r="G170" s="22">
        <v>18.52891</v>
      </c>
      <c r="H170" s="22">
        <v>0</v>
      </c>
      <c r="I170" s="22">
        <f t="shared" si="7"/>
        <v>18.52891</v>
      </c>
      <c r="J170" s="22">
        <f t="shared" si="8"/>
        <v>18.52891</v>
      </c>
      <c r="K170" s="22"/>
    </row>
    <row r="171" spans="1:11" x14ac:dyDescent="0.2">
      <c r="A171" s="15">
        <v>165</v>
      </c>
      <c r="B171" s="20">
        <v>1419</v>
      </c>
      <c r="C171" s="21" t="s">
        <v>77</v>
      </c>
      <c r="D171" s="22">
        <v>4056.2760699999999</v>
      </c>
      <c r="E171" s="22">
        <f t="shared" si="6"/>
        <v>4056.2760699999999</v>
      </c>
      <c r="F171" s="22"/>
      <c r="G171" s="22"/>
      <c r="H171" s="22"/>
      <c r="I171" s="22">
        <f t="shared" si="7"/>
        <v>0</v>
      </c>
      <c r="J171" s="22">
        <f t="shared" si="8"/>
        <v>4056.2760699999999</v>
      </c>
      <c r="K171" s="22"/>
    </row>
    <row r="172" spans="1:11" x14ac:dyDescent="0.2">
      <c r="A172" s="15">
        <v>166</v>
      </c>
      <c r="B172" s="20">
        <v>141905</v>
      </c>
      <c r="C172" s="21" t="s">
        <v>38</v>
      </c>
      <c r="D172" s="22">
        <v>53.701819999999998</v>
      </c>
      <c r="E172" s="22">
        <f t="shared" si="6"/>
        <v>53.701819999999998</v>
      </c>
      <c r="F172" s="22"/>
      <c r="G172" s="22"/>
      <c r="H172" s="22"/>
      <c r="I172" s="22">
        <f t="shared" si="7"/>
        <v>0</v>
      </c>
      <c r="J172" s="22">
        <f t="shared" si="8"/>
        <v>53.701819999999998</v>
      </c>
      <c r="K172" s="22"/>
    </row>
    <row r="173" spans="1:11" x14ac:dyDescent="0.2">
      <c r="A173" s="15">
        <v>167</v>
      </c>
      <c r="B173" s="20">
        <v>141910</v>
      </c>
      <c r="C173" s="21" t="s">
        <v>39</v>
      </c>
      <c r="D173" s="22">
        <v>65.836420000000004</v>
      </c>
      <c r="E173" s="22">
        <f t="shared" si="6"/>
        <v>65.836420000000004</v>
      </c>
      <c r="F173" s="22"/>
      <c r="G173" s="22"/>
      <c r="H173" s="22"/>
      <c r="I173" s="22">
        <f t="shared" si="7"/>
        <v>0</v>
      </c>
      <c r="J173" s="22">
        <f t="shared" si="8"/>
        <v>65.836420000000004</v>
      </c>
      <c r="K173" s="22"/>
    </row>
    <row r="174" spans="1:11" x14ac:dyDescent="0.2">
      <c r="A174" s="15">
        <v>168</v>
      </c>
      <c r="B174" s="20">
        <v>141915</v>
      </c>
      <c r="C174" s="21" t="s">
        <v>40</v>
      </c>
      <c r="D174" s="22">
        <v>100.892</v>
      </c>
      <c r="E174" s="22">
        <f t="shared" si="6"/>
        <v>100.892</v>
      </c>
      <c r="F174" s="22"/>
      <c r="G174" s="22"/>
      <c r="H174" s="22"/>
      <c r="I174" s="22">
        <f t="shared" si="7"/>
        <v>0</v>
      </c>
      <c r="J174" s="22">
        <f t="shared" si="8"/>
        <v>100.892</v>
      </c>
      <c r="K174" s="22"/>
    </row>
    <row r="175" spans="1:11" x14ac:dyDescent="0.2">
      <c r="A175" s="15">
        <v>169</v>
      </c>
      <c r="B175" s="20">
        <v>141920</v>
      </c>
      <c r="C175" s="21" t="s">
        <v>41</v>
      </c>
      <c r="D175" s="22">
        <v>205.98504</v>
      </c>
      <c r="E175" s="22">
        <f t="shared" si="6"/>
        <v>205.98504</v>
      </c>
      <c r="F175" s="22"/>
      <c r="G175" s="22"/>
      <c r="H175" s="22"/>
      <c r="I175" s="22">
        <f t="shared" si="7"/>
        <v>0</v>
      </c>
      <c r="J175" s="22">
        <f t="shared" si="8"/>
        <v>205.98504</v>
      </c>
      <c r="K175" s="22"/>
    </row>
    <row r="176" spans="1:11" x14ac:dyDescent="0.2">
      <c r="A176" s="15">
        <v>170</v>
      </c>
      <c r="B176" s="20">
        <v>141925</v>
      </c>
      <c r="C176" s="21" t="s">
        <v>42</v>
      </c>
      <c r="D176" s="22">
        <v>3629.8607900000002</v>
      </c>
      <c r="E176" s="22">
        <f t="shared" si="6"/>
        <v>3629.8607900000002</v>
      </c>
      <c r="F176" s="22"/>
      <c r="G176" s="22"/>
      <c r="H176" s="22"/>
      <c r="I176" s="22">
        <f t="shared" si="7"/>
        <v>0</v>
      </c>
      <c r="J176" s="22">
        <f t="shared" si="8"/>
        <v>3629.8607900000002</v>
      </c>
      <c r="K176" s="22"/>
    </row>
    <row r="177" spans="1:11" x14ac:dyDescent="0.2">
      <c r="A177" s="15">
        <v>171</v>
      </c>
      <c r="B177" s="20">
        <v>1420</v>
      </c>
      <c r="C177" s="21" t="s">
        <v>78</v>
      </c>
      <c r="D177" s="22"/>
      <c r="E177" s="22">
        <f t="shared" si="6"/>
        <v>0</v>
      </c>
      <c r="F177" s="22"/>
      <c r="G177" s="22">
        <v>713.12981000000002</v>
      </c>
      <c r="H177" s="22">
        <v>0</v>
      </c>
      <c r="I177" s="22">
        <f t="shared" si="7"/>
        <v>713.12981000000002</v>
      </c>
      <c r="J177" s="22">
        <f t="shared" si="8"/>
        <v>713.12981000000002</v>
      </c>
      <c r="K177" s="22"/>
    </row>
    <row r="178" spans="1:11" x14ac:dyDescent="0.2">
      <c r="A178" s="15">
        <v>172</v>
      </c>
      <c r="B178" s="20">
        <v>142005</v>
      </c>
      <c r="C178" s="21" t="s">
        <v>38</v>
      </c>
      <c r="D178" s="22"/>
      <c r="E178" s="22">
        <f t="shared" si="6"/>
        <v>0</v>
      </c>
      <c r="F178" s="22"/>
      <c r="G178" s="22">
        <v>48.877899999999997</v>
      </c>
      <c r="H178" s="22">
        <v>0</v>
      </c>
      <c r="I178" s="22">
        <f t="shared" si="7"/>
        <v>48.877899999999997</v>
      </c>
      <c r="J178" s="22">
        <f t="shared" si="8"/>
        <v>48.877899999999997</v>
      </c>
      <c r="K178" s="22"/>
    </row>
    <row r="179" spans="1:11" x14ac:dyDescent="0.2">
      <c r="A179" s="15">
        <v>173</v>
      </c>
      <c r="B179" s="20">
        <v>142010</v>
      </c>
      <c r="C179" s="21" t="s">
        <v>39</v>
      </c>
      <c r="D179" s="22"/>
      <c r="E179" s="22">
        <f t="shared" si="6"/>
        <v>0</v>
      </c>
      <c r="F179" s="22"/>
      <c r="G179" s="22">
        <v>52.809429999999999</v>
      </c>
      <c r="H179" s="22">
        <v>0</v>
      </c>
      <c r="I179" s="22">
        <f t="shared" si="7"/>
        <v>52.809429999999999</v>
      </c>
      <c r="J179" s="22">
        <f t="shared" si="8"/>
        <v>52.809429999999999</v>
      </c>
      <c r="K179" s="22"/>
    </row>
    <row r="180" spans="1:11" x14ac:dyDescent="0.2">
      <c r="A180" s="15">
        <v>174</v>
      </c>
      <c r="B180" s="20">
        <v>142015</v>
      </c>
      <c r="C180" s="21" t="s">
        <v>40</v>
      </c>
      <c r="D180" s="22"/>
      <c r="E180" s="22">
        <f t="shared" si="6"/>
        <v>0</v>
      </c>
      <c r="F180" s="22"/>
      <c r="G180" s="22">
        <v>166.58712</v>
      </c>
      <c r="H180" s="22">
        <v>0</v>
      </c>
      <c r="I180" s="22">
        <f t="shared" si="7"/>
        <v>166.58712</v>
      </c>
      <c r="J180" s="22">
        <f t="shared" si="8"/>
        <v>166.58712</v>
      </c>
      <c r="K180" s="22"/>
    </row>
    <row r="181" spans="1:11" x14ac:dyDescent="0.2">
      <c r="A181" s="15">
        <v>175</v>
      </c>
      <c r="B181" s="20">
        <v>142020</v>
      </c>
      <c r="C181" s="21" t="s">
        <v>41</v>
      </c>
      <c r="D181" s="22"/>
      <c r="E181" s="22">
        <f t="shared" si="6"/>
        <v>0</v>
      </c>
      <c r="F181" s="22"/>
      <c r="G181" s="22">
        <v>227.86032</v>
      </c>
      <c r="H181" s="22">
        <v>0</v>
      </c>
      <c r="I181" s="22">
        <f t="shared" si="7"/>
        <v>227.86032</v>
      </c>
      <c r="J181" s="22">
        <f t="shared" si="8"/>
        <v>227.86032</v>
      </c>
      <c r="K181" s="22"/>
    </row>
    <row r="182" spans="1:11" x14ac:dyDescent="0.2">
      <c r="A182" s="15">
        <v>176</v>
      </c>
      <c r="B182" s="20">
        <v>142025</v>
      </c>
      <c r="C182" s="21" t="s">
        <v>42</v>
      </c>
      <c r="D182" s="22"/>
      <c r="E182" s="22">
        <f t="shared" si="6"/>
        <v>0</v>
      </c>
      <c r="F182" s="22"/>
      <c r="G182" s="22">
        <v>216.99503999999999</v>
      </c>
      <c r="H182" s="22">
        <v>0</v>
      </c>
      <c r="I182" s="22">
        <f t="shared" si="7"/>
        <v>216.99503999999999</v>
      </c>
      <c r="J182" s="22">
        <f t="shared" si="8"/>
        <v>216.99503999999999</v>
      </c>
      <c r="K182" s="22"/>
    </row>
    <row r="183" spans="1:11" x14ac:dyDescent="0.2">
      <c r="A183" s="15">
        <v>177</v>
      </c>
      <c r="B183" s="20">
        <v>1421</v>
      </c>
      <c r="C183" s="21" t="s">
        <v>79</v>
      </c>
      <c r="D183" s="22"/>
      <c r="E183" s="22">
        <f t="shared" si="6"/>
        <v>0</v>
      </c>
      <c r="F183" s="22"/>
      <c r="G183" s="22"/>
      <c r="H183" s="22"/>
      <c r="I183" s="22">
        <f t="shared" si="7"/>
        <v>0</v>
      </c>
      <c r="J183" s="22">
        <f t="shared" si="8"/>
        <v>0</v>
      </c>
      <c r="K183" s="22">
        <v>0</v>
      </c>
    </row>
    <row r="184" spans="1:11" x14ac:dyDescent="0.2">
      <c r="A184" s="15">
        <v>178</v>
      </c>
      <c r="B184" s="20">
        <v>142105</v>
      </c>
      <c r="C184" s="21" t="s">
        <v>38</v>
      </c>
      <c r="D184" s="22"/>
      <c r="E184" s="22">
        <f t="shared" si="6"/>
        <v>0</v>
      </c>
      <c r="F184" s="22"/>
      <c r="G184" s="22"/>
      <c r="H184" s="22"/>
      <c r="I184" s="22">
        <f t="shared" si="7"/>
        <v>0</v>
      </c>
      <c r="J184" s="22">
        <f t="shared" si="8"/>
        <v>0</v>
      </c>
      <c r="K184" s="22">
        <v>0</v>
      </c>
    </row>
    <row r="185" spans="1:11" x14ac:dyDescent="0.2">
      <c r="A185" s="15">
        <v>179</v>
      </c>
      <c r="B185" s="20">
        <v>142110</v>
      </c>
      <c r="C185" s="21" t="s">
        <v>39</v>
      </c>
      <c r="D185" s="22"/>
      <c r="E185" s="22">
        <f t="shared" si="6"/>
        <v>0</v>
      </c>
      <c r="F185" s="22"/>
      <c r="G185" s="22"/>
      <c r="H185" s="22"/>
      <c r="I185" s="22">
        <f t="shared" si="7"/>
        <v>0</v>
      </c>
      <c r="J185" s="22">
        <f t="shared" si="8"/>
        <v>0</v>
      </c>
      <c r="K185" s="22">
        <v>0</v>
      </c>
    </row>
    <row r="186" spans="1:11" x14ac:dyDescent="0.2">
      <c r="A186" s="15">
        <v>180</v>
      </c>
      <c r="B186" s="20">
        <v>142115</v>
      </c>
      <c r="C186" s="21" t="s">
        <v>40</v>
      </c>
      <c r="D186" s="22"/>
      <c r="E186" s="22">
        <f t="shared" si="6"/>
        <v>0</v>
      </c>
      <c r="F186" s="22"/>
      <c r="G186" s="22"/>
      <c r="H186" s="22"/>
      <c r="I186" s="22">
        <f t="shared" si="7"/>
        <v>0</v>
      </c>
      <c r="J186" s="22">
        <f t="shared" si="8"/>
        <v>0</v>
      </c>
      <c r="K186" s="22">
        <v>0</v>
      </c>
    </row>
    <row r="187" spans="1:11" x14ac:dyDescent="0.2">
      <c r="A187" s="15">
        <v>181</v>
      </c>
      <c r="B187" s="20">
        <v>142120</v>
      </c>
      <c r="C187" s="21" t="s">
        <v>41</v>
      </c>
      <c r="D187" s="22"/>
      <c r="E187" s="22">
        <f t="shared" si="6"/>
        <v>0</v>
      </c>
      <c r="F187" s="22"/>
      <c r="G187" s="22"/>
      <c r="H187" s="22"/>
      <c r="I187" s="22">
        <f t="shared" si="7"/>
        <v>0</v>
      </c>
      <c r="J187" s="22">
        <f t="shared" si="8"/>
        <v>0</v>
      </c>
      <c r="K187" s="22">
        <v>0</v>
      </c>
    </row>
    <row r="188" spans="1:11" x14ac:dyDescent="0.2">
      <c r="A188" s="15">
        <v>182</v>
      </c>
      <c r="B188" s="20">
        <v>142125</v>
      </c>
      <c r="C188" s="21" t="s">
        <v>42</v>
      </c>
      <c r="D188" s="22"/>
      <c r="E188" s="22">
        <f t="shared" si="6"/>
        <v>0</v>
      </c>
      <c r="F188" s="22"/>
      <c r="G188" s="22"/>
      <c r="H188" s="22"/>
      <c r="I188" s="22">
        <f t="shared" si="7"/>
        <v>0</v>
      </c>
      <c r="J188" s="22">
        <f t="shared" si="8"/>
        <v>0</v>
      </c>
      <c r="K188" s="22">
        <v>0</v>
      </c>
    </row>
    <row r="189" spans="1:11" x14ac:dyDescent="0.2">
      <c r="A189" s="15">
        <v>183</v>
      </c>
      <c r="B189" s="20">
        <v>1422</v>
      </c>
      <c r="C189" s="21" t="s">
        <v>80</v>
      </c>
      <c r="D189" s="22"/>
      <c r="E189" s="22">
        <f t="shared" si="6"/>
        <v>0</v>
      </c>
      <c r="F189" s="22">
        <v>0</v>
      </c>
      <c r="G189" s="22"/>
      <c r="H189" s="22"/>
      <c r="I189" s="22">
        <f t="shared" si="7"/>
        <v>0</v>
      </c>
      <c r="J189" s="22">
        <f t="shared" si="8"/>
        <v>0</v>
      </c>
      <c r="K189" s="22"/>
    </row>
    <row r="190" spans="1:11" x14ac:dyDescent="0.2">
      <c r="A190" s="15">
        <v>184</v>
      </c>
      <c r="B190" s="20">
        <v>142205</v>
      </c>
      <c r="C190" s="21" t="s">
        <v>38</v>
      </c>
      <c r="D190" s="22"/>
      <c r="E190" s="22">
        <f t="shared" si="6"/>
        <v>0</v>
      </c>
      <c r="F190" s="22">
        <v>0</v>
      </c>
      <c r="G190" s="22"/>
      <c r="H190" s="22"/>
      <c r="I190" s="22">
        <f t="shared" si="7"/>
        <v>0</v>
      </c>
      <c r="J190" s="22">
        <f t="shared" si="8"/>
        <v>0</v>
      </c>
      <c r="K190" s="22"/>
    </row>
    <row r="191" spans="1:11" x14ac:dyDescent="0.2">
      <c r="A191" s="15">
        <v>185</v>
      </c>
      <c r="B191" s="20">
        <v>142210</v>
      </c>
      <c r="C191" s="21" t="s">
        <v>39</v>
      </c>
      <c r="D191" s="22"/>
      <c r="E191" s="22">
        <f t="shared" si="6"/>
        <v>0</v>
      </c>
      <c r="F191" s="22">
        <v>0</v>
      </c>
      <c r="G191" s="22"/>
      <c r="H191" s="22"/>
      <c r="I191" s="22">
        <f t="shared" si="7"/>
        <v>0</v>
      </c>
      <c r="J191" s="22">
        <f t="shared" si="8"/>
        <v>0</v>
      </c>
      <c r="K191" s="22"/>
    </row>
    <row r="192" spans="1:11" x14ac:dyDescent="0.2">
      <c r="A192" s="15">
        <v>186</v>
      </c>
      <c r="B192" s="20">
        <v>142215</v>
      </c>
      <c r="C192" s="21" t="s">
        <v>40</v>
      </c>
      <c r="D192" s="22"/>
      <c r="E192" s="22">
        <f t="shared" si="6"/>
        <v>0</v>
      </c>
      <c r="F192" s="22">
        <v>0</v>
      </c>
      <c r="G192" s="22"/>
      <c r="H192" s="22"/>
      <c r="I192" s="22">
        <f t="shared" si="7"/>
        <v>0</v>
      </c>
      <c r="J192" s="22">
        <f t="shared" si="8"/>
        <v>0</v>
      </c>
      <c r="K192" s="22"/>
    </row>
    <row r="193" spans="1:11" x14ac:dyDescent="0.2">
      <c r="A193" s="15">
        <v>187</v>
      </c>
      <c r="B193" s="20">
        <v>142220</v>
      </c>
      <c r="C193" s="21" t="s">
        <v>41</v>
      </c>
      <c r="D193" s="22"/>
      <c r="E193" s="22">
        <f t="shared" si="6"/>
        <v>0</v>
      </c>
      <c r="F193" s="22">
        <v>0</v>
      </c>
      <c r="G193" s="22"/>
      <c r="H193" s="22"/>
      <c r="I193" s="22">
        <f t="shared" si="7"/>
        <v>0</v>
      </c>
      <c r="J193" s="22">
        <f t="shared" si="8"/>
        <v>0</v>
      </c>
      <c r="K193" s="22"/>
    </row>
    <row r="194" spans="1:11" x14ac:dyDescent="0.2">
      <c r="A194" s="15">
        <v>188</v>
      </c>
      <c r="B194" s="20">
        <v>142225</v>
      </c>
      <c r="C194" s="21" t="s">
        <v>42</v>
      </c>
      <c r="D194" s="22"/>
      <c r="E194" s="22">
        <f t="shared" si="6"/>
        <v>0</v>
      </c>
      <c r="F194" s="22">
        <v>0</v>
      </c>
      <c r="G194" s="22"/>
      <c r="H194" s="22"/>
      <c r="I194" s="22">
        <f t="shared" si="7"/>
        <v>0</v>
      </c>
      <c r="J194" s="22">
        <f t="shared" si="8"/>
        <v>0</v>
      </c>
      <c r="K194" s="22"/>
    </row>
    <row r="195" spans="1:11" x14ac:dyDescent="0.2">
      <c r="A195" s="15">
        <v>189</v>
      </c>
      <c r="B195" s="20">
        <v>1425</v>
      </c>
      <c r="C195" s="21" t="s">
        <v>81</v>
      </c>
      <c r="D195" s="22">
        <v>13415.23905</v>
      </c>
      <c r="E195" s="22">
        <f t="shared" si="6"/>
        <v>13415.23905</v>
      </c>
      <c r="F195" s="22"/>
      <c r="G195" s="22">
        <v>60217.763160000002</v>
      </c>
      <c r="H195" s="22">
        <v>23054.251489999999</v>
      </c>
      <c r="I195" s="22">
        <f t="shared" si="7"/>
        <v>83272.014649999997</v>
      </c>
      <c r="J195" s="22">
        <f t="shared" si="8"/>
        <v>96687.253700000001</v>
      </c>
      <c r="K195" s="22"/>
    </row>
    <row r="196" spans="1:11" x14ac:dyDescent="0.2">
      <c r="A196" s="15">
        <v>190</v>
      </c>
      <c r="B196" s="20">
        <v>142505</v>
      </c>
      <c r="C196" s="21" t="s">
        <v>38</v>
      </c>
      <c r="D196" s="22">
        <v>4440.9949999999999</v>
      </c>
      <c r="E196" s="22">
        <f t="shared" si="6"/>
        <v>4440.9949999999999</v>
      </c>
      <c r="F196" s="22"/>
      <c r="G196" s="22">
        <v>5141.9467000000004</v>
      </c>
      <c r="H196" s="22">
        <v>994.49756000000002</v>
      </c>
      <c r="I196" s="22">
        <f t="shared" si="7"/>
        <v>6136.4442600000002</v>
      </c>
      <c r="J196" s="22">
        <f t="shared" si="8"/>
        <v>10577.439259999999</v>
      </c>
      <c r="K196" s="22"/>
    </row>
    <row r="197" spans="1:11" x14ac:dyDescent="0.2">
      <c r="A197" s="15">
        <v>191</v>
      </c>
      <c r="B197" s="20">
        <v>142510</v>
      </c>
      <c r="C197" s="21" t="s">
        <v>39</v>
      </c>
      <c r="D197" s="22">
        <v>2610.3197799999998</v>
      </c>
      <c r="E197" s="22">
        <f t="shared" si="6"/>
        <v>2610.3197799999998</v>
      </c>
      <c r="F197" s="22"/>
      <c r="G197" s="22">
        <v>4425.7812299999996</v>
      </c>
      <c r="H197" s="22">
        <v>807.64128000000005</v>
      </c>
      <c r="I197" s="22">
        <f t="shared" si="7"/>
        <v>5233.4225099999994</v>
      </c>
      <c r="J197" s="22">
        <f t="shared" si="8"/>
        <v>7843.7422899999992</v>
      </c>
      <c r="K197" s="22"/>
    </row>
    <row r="198" spans="1:11" x14ac:dyDescent="0.2">
      <c r="A198" s="15">
        <v>192</v>
      </c>
      <c r="B198" s="20">
        <v>142515</v>
      </c>
      <c r="C198" s="21" t="s">
        <v>40</v>
      </c>
      <c r="D198" s="22">
        <v>2891.31061</v>
      </c>
      <c r="E198" s="22">
        <f t="shared" si="6"/>
        <v>2891.31061</v>
      </c>
      <c r="F198" s="22"/>
      <c r="G198" s="22">
        <v>6287.0745999999999</v>
      </c>
      <c r="H198" s="22">
        <v>1570.9386500000001</v>
      </c>
      <c r="I198" s="22">
        <f t="shared" si="7"/>
        <v>7858.01325</v>
      </c>
      <c r="J198" s="22">
        <f t="shared" si="8"/>
        <v>10749.32386</v>
      </c>
      <c r="K198" s="22"/>
    </row>
    <row r="199" spans="1:11" x14ac:dyDescent="0.2">
      <c r="A199" s="15">
        <v>193</v>
      </c>
      <c r="B199" s="20">
        <v>142520</v>
      </c>
      <c r="C199" s="21" t="s">
        <v>41</v>
      </c>
      <c r="D199" s="22">
        <v>2998.7189100000001</v>
      </c>
      <c r="E199" s="22">
        <f t="shared" si="6"/>
        <v>2998.7189100000001</v>
      </c>
      <c r="F199" s="22"/>
      <c r="G199" s="22">
        <v>11753.39674</v>
      </c>
      <c r="H199" s="22">
        <v>2693.7017300000002</v>
      </c>
      <c r="I199" s="22">
        <f t="shared" si="7"/>
        <v>14447.098470000001</v>
      </c>
      <c r="J199" s="22">
        <f t="shared" si="8"/>
        <v>17445.81738</v>
      </c>
      <c r="K199" s="22"/>
    </row>
    <row r="200" spans="1:11" x14ac:dyDescent="0.2">
      <c r="A200" s="15">
        <v>194</v>
      </c>
      <c r="B200" s="20">
        <v>142525</v>
      </c>
      <c r="C200" s="21" t="s">
        <v>42</v>
      </c>
      <c r="D200" s="22">
        <v>473.89474999999999</v>
      </c>
      <c r="E200" s="22">
        <f t="shared" si="6"/>
        <v>473.89474999999999</v>
      </c>
      <c r="F200" s="22"/>
      <c r="G200" s="22">
        <v>32609.563890000001</v>
      </c>
      <c r="H200" s="22">
        <v>16987.472269999998</v>
      </c>
      <c r="I200" s="22">
        <f t="shared" si="7"/>
        <v>49597.036160000003</v>
      </c>
      <c r="J200" s="22">
        <f t="shared" si="8"/>
        <v>50070.930910000003</v>
      </c>
      <c r="K200" s="22"/>
    </row>
    <row r="201" spans="1:11" x14ac:dyDescent="0.2">
      <c r="A201" s="15">
        <v>195</v>
      </c>
      <c r="B201" s="20">
        <v>1426</v>
      </c>
      <c r="C201" s="21" t="s">
        <v>82</v>
      </c>
      <c r="D201" s="22">
        <v>0</v>
      </c>
      <c r="E201" s="22">
        <f t="shared" si="6"/>
        <v>0</v>
      </c>
      <c r="F201" s="22">
        <v>0</v>
      </c>
      <c r="G201" s="22">
        <v>4106.4009100000003</v>
      </c>
      <c r="H201" s="22">
        <v>0</v>
      </c>
      <c r="I201" s="22">
        <f t="shared" si="7"/>
        <v>4106.4009100000003</v>
      </c>
      <c r="J201" s="22">
        <f t="shared" si="8"/>
        <v>4106.4009100000003</v>
      </c>
      <c r="K201" s="22"/>
    </row>
    <row r="202" spans="1:11" x14ac:dyDescent="0.2">
      <c r="A202" s="15">
        <v>196</v>
      </c>
      <c r="B202" s="20">
        <v>142605</v>
      </c>
      <c r="C202" s="21" t="s">
        <v>38</v>
      </c>
      <c r="D202" s="22">
        <v>0</v>
      </c>
      <c r="E202" s="22">
        <f t="shared" ref="E202:E265" si="9">+D202</f>
        <v>0</v>
      </c>
      <c r="F202" s="22">
        <v>0</v>
      </c>
      <c r="G202" s="22">
        <v>357.00245999999999</v>
      </c>
      <c r="H202" s="22">
        <v>0</v>
      </c>
      <c r="I202" s="22">
        <f t="shared" ref="I202:I265" si="10">+SUM(F202:H202)</f>
        <v>357.00245999999999</v>
      </c>
      <c r="J202" s="22">
        <f t="shared" ref="J202:J265" si="11">+E202+I202</f>
        <v>357.00245999999999</v>
      </c>
      <c r="K202" s="22"/>
    </row>
    <row r="203" spans="1:11" x14ac:dyDescent="0.2">
      <c r="A203" s="15">
        <v>197</v>
      </c>
      <c r="B203" s="20">
        <v>142610</v>
      </c>
      <c r="C203" s="21" t="s">
        <v>39</v>
      </c>
      <c r="D203" s="22">
        <v>0</v>
      </c>
      <c r="E203" s="22">
        <f t="shared" si="9"/>
        <v>0</v>
      </c>
      <c r="F203" s="22">
        <v>0</v>
      </c>
      <c r="G203" s="22">
        <v>537.34123</v>
      </c>
      <c r="H203" s="22">
        <v>0</v>
      </c>
      <c r="I203" s="22">
        <f t="shared" si="10"/>
        <v>537.34123</v>
      </c>
      <c r="J203" s="22">
        <f t="shared" si="11"/>
        <v>537.34123</v>
      </c>
      <c r="K203" s="22"/>
    </row>
    <row r="204" spans="1:11" x14ac:dyDescent="0.2">
      <c r="A204" s="15">
        <v>198</v>
      </c>
      <c r="B204" s="20">
        <v>142615</v>
      </c>
      <c r="C204" s="21" t="s">
        <v>40</v>
      </c>
      <c r="D204" s="22">
        <v>0</v>
      </c>
      <c r="E204" s="22">
        <f t="shared" si="9"/>
        <v>0</v>
      </c>
      <c r="F204" s="22">
        <v>0</v>
      </c>
      <c r="G204" s="22">
        <v>719.50693000000001</v>
      </c>
      <c r="H204" s="22">
        <v>0</v>
      </c>
      <c r="I204" s="22">
        <f t="shared" si="10"/>
        <v>719.50693000000001</v>
      </c>
      <c r="J204" s="22">
        <f t="shared" si="11"/>
        <v>719.50693000000001</v>
      </c>
      <c r="K204" s="22"/>
    </row>
    <row r="205" spans="1:11" x14ac:dyDescent="0.2">
      <c r="A205" s="15">
        <v>199</v>
      </c>
      <c r="B205" s="20">
        <v>142620</v>
      </c>
      <c r="C205" s="21" t="s">
        <v>41</v>
      </c>
      <c r="D205" s="22">
        <v>0</v>
      </c>
      <c r="E205" s="22">
        <f t="shared" si="9"/>
        <v>0</v>
      </c>
      <c r="F205" s="22">
        <v>0</v>
      </c>
      <c r="G205" s="22">
        <v>1171.20136</v>
      </c>
      <c r="H205" s="22">
        <v>0</v>
      </c>
      <c r="I205" s="22">
        <f t="shared" si="10"/>
        <v>1171.20136</v>
      </c>
      <c r="J205" s="22">
        <f t="shared" si="11"/>
        <v>1171.20136</v>
      </c>
      <c r="K205" s="22"/>
    </row>
    <row r="206" spans="1:11" x14ac:dyDescent="0.2">
      <c r="A206" s="15">
        <v>200</v>
      </c>
      <c r="B206" s="20">
        <v>142625</v>
      </c>
      <c r="C206" s="21" t="s">
        <v>42</v>
      </c>
      <c r="D206" s="22">
        <v>0</v>
      </c>
      <c r="E206" s="22">
        <f t="shared" si="9"/>
        <v>0</v>
      </c>
      <c r="F206" s="22">
        <v>0</v>
      </c>
      <c r="G206" s="22">
        <v>1321.3489300000001</v>
      </c>
      <c r="H206" s="22">
        <v>0</v>
      </c>
      <c r="I206" s="22">
        <f t="shared" si="10"/>
        <v>1321.3489300000001</v>
      </c>
      <c r="J206" s="22">
        <f t="shared" si="11"/>
        <v>1321.3489300000001</v>
      </c>
      <c r="K206" s="22"/>
    </row>
    <row r="207" spans="1:11" x14ac:dyDescent="0.2">
      <c r="A207" s="15">
        <v>201</v>
      </c>
      <c r="B207" s="20">
        <v>1427</v>
      </c>
      <c r="C207" s="21" t="s">
        <v>83</v>
      </c>
      <c r="D207" s="22">
        <v>654.62697000000003</v>
      </c>
      <c r="E207" s="22">
        <f t="shared" si="9"/>
        <v>654.62697000000003</v>
      </c>
      <c r="F207" s="22"/>
      <c r="G207" s="22"/>
      <c r="H207" s="22"/>
      <c r="I207" s="22">
        <f t="shared" si="10"/>
        <v>0</v>
      </c>
      <c r="J207" s="22">
        <f t="shared" si="11"/>
        <v>654.62697000000003</v>
      </c>
      <c r="K207" s="22"/>
    </row>
    <row r="208" spans="1:11" x14ac:dyDescent="0.2">
      <c r="A208" s="15">
        <v>202</v>
      </c>
      <c r="B208" s="20">
        <v>142705</v>
      </c>
      <c r="C208" s="21" t="s">
        <v>38</v>
      </c>
      <c r="D208" s="22">
        <v>31.761369999999999</v>
      </c>
      <c r="E208" s="22">
        <f t="shared" si="9"/>
        <v>31.761369999999999</v>
      </c>
      <c r="F208" s="22"/>
      <c r="G208" s="22"/>
      <c r="H208" s="22"/>
      <c r="I208" s="22">
        <f t="shared" si="10"/>
        <v>0</v>
      </c>
      <c r="J208" s="22">
        <f t="shared" si="11"/>
        <v>31.761369999999999</v>
      </c>
      <c r="K208" s="22"/>
    </row>
    <row r="209" spans="1:11" x14ac:dyDescent="0.2">
      <c r="A209" s="15">
        <v>203</v>
      </c>
      <c r="B209" s="20">
        <v>142710</v>
      </c>
      <c r="C209" s="21" t="s">
        <v>39</v>
      </c>
      <c r="D209" s="22">
        <v>21.941659999999999</v>
      </c>
      <c r="E209" s="22">
        <f t="shared" si="9"/>
        <v>21.941659999999999</v>
      </c>
      <c r="F209" s="22"/>
      <c r="G209" s="22"/>
      <c r="H209" s="22"/>
      <c r="I209" s="22">
        <f t="shared" si="10"/>
        <v>0</v>
      </c>
      <c r="J209" s="22">
        <f t="shared" si="11"/>
        <v>21.941659999999999</v>
      </c>
      <c r="K209" s="22"/>
    </row>
    <row r="210" spans="1:11" x14ac:dyDescent="0.2">
      <c r="A210" s="15">
        <v>204</v>
      </c>
      <c r="B210" s="20">
        <v>142715</v>
      </c>
      <c r="C210" s="21" t="s">
        <v>40</v>
      </c>
      <c r="D210" s="22">
        <v>33.063450000000003</v>
      </c>
      <c r="E210" s="22">
        <f t="shared" si="9"/>
        <v>33.063450000000003</v>
      </c>
      <c r="F210" s="22"/>
      <c r="G210" s="22"/>
      <c r="H210" s="22"/>
      <c r="I210" s="22">
        <f t="shared" si="10"/>
        <v>0</v>
      </c>
      <c r="J210" s="22">
        <f t="shared" si="11"/>
        <v>33.063450000000003</v>
      </c>
      <c r="K210" s="22"/>
    </row>
    <row r="211" spans="1:11" x14ac:dyDescent="0.2">
      <c r="A211" s="15">
        <v>205</v>
      </c>
      <c r="B211" s="20">
        <v>142720</v>
      </c>
      <c r="C211" s="21" t="s">
        <v>41</v>
      </c>
      <c r="D211" s="22">
        <v>63.07855</v>
      </c>
      <c r="E211" s="22">
        <f t="shared" si="9"/>
        <v>63.07855</v>
      </c>
      <c r="F211" s="22"/>
      <c r="G211" s="22"/>
      <c r="H211" s="22"/>
      <c r="I211" s="22">
        <f t="shared" si="10"/>
        <v>0</v>
      </c>
      <c r="J211" s="22">
        <f t="shared" si="11"/>
        <v>63.07855</v>
      </c>
      <c r="K211" s="22"/>
    </row>
    <row r="212" spans="1:11" x14ac:dyDescent="0.2">
      <c r="A212" s="15">
        <v>206</v>
      </c>
      <c r="B212" s="20">
        <v>142725</v>
      </c>
      <c r="C212" s="21" t="s">
        <v>42</v>
      </c>
      <c r="D212" s="22">
        <v>504.78194000000002</v>
      </c>
      <c r="E212" s="22">
        <f t="shared" si="9"/>
        <v>504.78194000000002</v>
      </c>
      <c r="F212" s="22"/>
      <c r="G212" s="22"/>
      <c r="H212" s="22"/>
      <c r="I212" s="22">
        <f t="shared" si="10"/>
        <v>0</v>
      </c>
      <c r="J212" s="22">
        <f t="shared" si="11"/>
        <v>504.78194000000002</v>
      </c>
      <c r="K212" s="22"/>
    </row>
    <row r="213" spans="1:11" x14ac:dyDescent="0.2">
      <c r="A213" s="15">
        <v>207</v>
      </c>
      <c r="B213" s="20">
        <v>1428</v>
      </c>
      <c r="C213" s="21" t="s">
        <v>84</v>
      </c>
      <c r="D213" s="22"/>
      <c r="E213" s="22">
        <f t="shared" si="9"/>
        <v>0</v>
      </c>
      <c r="F213" s="22"/>
      <c r="G213" s="22">
        <v>12904.500770000001</v>
      </c>
      <c r="H213" s="22">
        <v>4028.91347</v>
      </c>
      <c r="I213" s="22">
        <f t="shared" si="10"/>
        <v>16933.414240000002</v>
      </c>
      <c r="J213" s="22">
        <f t="shared" si="11"/>
        <v>16933.414240000002</v>
      </c>
      <c r="K213" s="22"/>
    </row>
    <row r="214" spans="1:11" x14ac:dyDescent="0.2">
      <c r="A214" s="15">
        <v>208</v>
      </c>
      <c r="B214" s="20">
        <v>142805</v>
      </c>
      <c r="C214" s="21" t="s">
        <v>38</v>
      </c>
      <c r="D214" s="22"/>
      <c r="E214" s="22">
        <f t="shared" si="9"/>
        <v>0</v>
      </c>
      <c r="F214" s="22"/>
      <c r="G214" s="22">
        <v>531.55322999999999</v>
      </c>
      <c r="H214" s="22">
        <v>361.57049000000001</v>
      </c>
      <c r="I214" s="22">
        <f t="shared" si="10"/>
        <v>893.12372000000005</v>
      </c>
      <c r="J214" s="22">
        <f t="shared" si="11"/>
        <v>893.12372000000005</v>
      </c>
      <c r="K214" s="22"/>
    </row>
    <row r="215" spans="1:11" x14ac:dyDescent="0.2">
      <c r="A215" s="15">
        <v>209</v>
      </c>
      <c r="B215" s="20">
        <v>142810</v>
      </c>
      <c r="C215" s="21" t="s">
        <v>39</v>
      </c>
      <c r="D215" s="22"/>
      <c r="E215" s="22">
        <f t="shared" si="9"/>
        <v>0</v>
      </c>
      <c r="F215" s="22"/>
      <c r="G215" s="22">
        <v>1070.2838099999999</v>
      </c>
      <c r="H215" s="22">
        <v>326.11563999999998</v>
      </c>
      <c r="I215" s="22">
        <f t="shared" si="10"/>
        <v>1396.3994499999999</v>
      </c>
      <c r="J215" s="22">
        <f t="shared" si="11"/>
        <v>1396.3994499999999</v>
      </c>
      <c r="K215" s="22"/>
    </row>
    <row r="216" spans="1:11" x14ac:dyDescent="0.2">
      <c r="A216" s="15">
        <v>210</v>
      </c>
      <c r="B216" s="20">
        <v>142815</v>
      </c>
      <c r="C216" s="21" t="s">
        <v>40</v>
      </c>
      <c r="D216" s="22"/>
      <c r="E216" s="22">
        <f t="shared" si="9"/>
        <v>0</v>
      </c>
      <c r="F216" s="22"/>
      <c r="G216" s="22">
        <v>1620.0844300000001</v>
      </c>
      <c r="H216" s="22">
        <v>476.24941000000001</v>
      </c>
      <c r="I216" s="22">
        <f t="shared" si="10"/>
        <v>2096.3338400000002</v>
      </c>
      <c r="J216" s="22">
        <f t="shared" si="11"/>
        <v>2096.3338400000002</v>
      </c>
      <c r="K216" s="22"/>
    </row>
    <row r="217" spans="1:11" x14ac:dyDescent="0.2">
      <c r="A217" s="15">
        <v>211</v>
      </c>
      <c r="B217" s="20">
        <v>142820</v>
      </c>
      <c r="C217" s="21" t="s">
        <v>41</v>
      </c>
      <c r="D217" s="22"/>
      <c r="E217" s="22">
        <f t="shared" si="9"/>
        <v>0</v>
      </c>
      <c r="F217" s="22"/>
      <c r="G217" s="22">
        <v>3315.72777</v>
      </c>
      <c r="H217" s="22">
        <v>850.11357999999996</v>
      </c>
      <c r="I217" s="22">
        <f t="shared" si="10"/>
        <v>4165.8413499999997</v>
      </c>
      <c r="J217" s="22">
        <f t="shared" si="11"/>
        <v>4165.8413499999997</v>
      </c>
      <c r="K217" s="22"/>
    </row>
    <row r="218" spans="1:11" x14ac:dyDescent="0.2">
      <c r="A218" s="15">
        <v>212</v>
      </c>
      <c r="B218" s="20">
        <v>142825</v>
      </c>
      <c r="C218" s="21" t="s">
        <v>42</v>
      </c>
      <c r="D218" s="22"/>
      <c r="E218" s="22">
        <f t="shared" si="9"/>
        <v>0</v>
      </c>
      <c r="F218" s="22"/>
      <c r="G218" s="22">
        <v>6366.8515299999999</v>
      </c>
      <c r="H218" s="22">
        <v>2014.8643500000001</v>
      </c>
      <c r="I218" s="22">
        <f t="shared" si="10"/>
        <v>8381.7158799999997</v>
      </c>
      <c r="J218" s="22">
        <f t="shared" si="11"/>
        <v>8381.7158799999997</v>
      </c>
      <c r="K218" s="22"/>
    </row>
    <row r="219" spans="1:11" x14ac:dyDescent="0.2">
      <c r="A219" s="15">
        <v>213</v>
      </c>
      <c r="B219" s="20">
        <v>1429</v>
      </c>
      <c r="C219" s="21" t="s">
        <v>85</v>
      </c>
      <c r="D219" s="22"/>
      <c r="E219" s="22">
        <f t="shared" si="9"/>
        <v>0</v>
      </c>
      <c r="F219" s="22"/>
      <c r="G219" s="22"/>
      <c r="H219" s="22"/>
      <c r="I219" s="22">
        <f t="shared" si="10"/>
        <v>0</v>
      </c>
      <c r="J219" s="22">
        <f t="shared" si="11"/>
        <v>0</v>
      </c>
      <c r="K219" s="22">
        <v>17855.219860000001</v>
      </c>
    </row>
    <row r="220" spans="1:11" x14ac:dyDescent="0.2">
      <c r="A220" s="15">
        <v>214</v>
      </c>
      <c r="B220" s="20">
        <v>142905</v>
      </c>
      <c r="C220" s="21" t="s">
        <v>38</v>
      </c>
      <c r="D220" s="22"/>
      <c r="E220" s="22">
        <f t="shared" si="9"/>
        <v>0</v>
      </c>
      <c r="F220" s="22"/>
      <c r="G220" s="22"/>
      <c r="H220" s="22"/>
      <c r="I220" s="22">
        <f t="shared" si="10"/>
        <v>0</v>
      </c>
      <c r="J220" s="22">
        <f t="shared" si="11"/>
        <v>0</v>
      </c>
      <c r="K220" s="22">
        <v>732.74554999999998</v>
      </c>
    </row>
    <row r="221" spans="1:11" x14ac:dyDescent="0.2">
      <c r="A221" s="15">
        <v>215</v>
      </c>
      <c r="B221" s="20">
        <v>142910</v>
      </c>
      <c r="C221" s="21" t="s">
        <v>39</v>
      </c>
      <c r="D221" s="22"/>
      <c r="E221" s="22">
        <f t="shared" si="9"/>
        <v>0</v>
      </c>
      <c r="F221" s="22"/>
      <c r="G221" s="22"/>
      <c r="H221" s="22"/>
      <c r="I221" s="22">
        <f t="shared" si="10"/>
        <v>0</v>
      </c>
      <c r="J221" s="22">
        <f t="shared" si="11"/>
        <v>0</v>
      </c>
      <c r="K221" s="22">
        <v>1254.7734700000001</v>
      </c>
    </row>
    <row r="222" spans="1:11" x14ac:dyDescent="0.2">
      <c r="A222" s="15">
        <v>216</v>
      </c>
      <c r="B222" s="20">
        <v>142915</v>
      </c>
      <c r="C222" s="21" t="s">
        <v>40</v>
      </c>
      <c r="D222" s="22"/>
      <c r="E222" s="22">
        <f t="shared" si="9"/>
        <v>0</v>
      </c>
      <c r="F222" s="22"/>
      <c r="G222" s="22"/>
      <c r="H222" s="22"/>
      <c r="I222" s="22">
        <f t="shared" si="10"/>
        <v>0</v>
      </c>
      <c r="J222" s="22">
        <f t="shared" si="11"/>
        <v>0</v>
      </c>
      <c r="K222" s="22">
        <v>1879.7063800000001</v>
      </c>
    </row>
    <row r="223" spans="1:11" x14ac:dyDescent="0.2">
      <c r="A223" s="15">
        <v>217</v>
      </c>
      <c r="B223" s="20">
        <v>142920</v>
      </c>
      <c r="C223" s="21" t="s">
        <v>41</v>
      </c>
      <c r="D223" s="22"/>
      <c r="E223" s="22">
        <f t="shared" si="9"/>
        <v>0</v>
      </c>
      <c r="F223" s="22"/>
      <c r="G223" s="22"/>
      <c r="H223" s="22"/>
      <c r="I223" s="22">
        <f t="shared" si="10"/>
        <v>0</v>
      </c>
      <c r="J223" s="22">
        <f t="shared" si="11"/>
        <v>0</v>
      </c>
      <c r="K223" s="22">
        <v>3220.1428299999998</v>
      </c>
    </row>
    <row r="224" spans="1:11" x14ac:dyDescent="0.2">
      <c r="A224" s="15">
        <v>218</v>
      </c>
      <c r="B224" s="20">
        <v>142925</v>
      </c>
      <c r="C224" s="21" t="s">
        <v>42</v>
      </c>
      <c r="D224" s="22"/>
      <c r="E224" s="22">
        <f t="shared" si="9"/>
        <v>0</v>
      </c>
      <c r="F224" s="22"/>
      <c r="G224" s="22"/>
      <c r="H224" s="22"/>
      <c r="I224" s="22">
        <f t="shared" si="10"/>
        <v>0</v>
      </c>
      <c r="J224" s="22">
        <f t="shared" si="11"/>
        <v>0</v>
      </c>
      <c r="K224" s="22">
        <v>10767.851629999999</v>
      </c>
    </row>
    <row r="225" spans="1:11" x14ac:dyDescent="0.2">
      <c r="A225" s="15">
        <v>219</v>
      </c>
      <c r="B225" s="20">
        <v>1430</v>
      </c>
      <c r="C225" s="21" t="s">
        <v>86</v>
      </c>
      <c r="D225" s="22"/>
      <c r="E225" s="22">
        <f t="shared" si="9"/>
        <v>0</v>
      </c>
      <c r="F225" s="22">
        <v>192.62246999999999</v>
      </c>
      <c r="G225" s="22"/>
      <c r="H225" s="22"/>
      <c r="I225" s="22">
        <f t="shared" si="10"/>
        <v>192.62246999999999</v>
      </c>
      <c r="J225" s="22">
        <f t="shared" si="11"/>
        <v>192.62246999999999</v>
      </c>
      <c r="K225" s="22"/>
    </row>
    <row r="226" spans="1:11" x14ac:dyDescent="0.2">
      <c r="A226" s="15">
        <v>220</v>
      </c>
      <c r="B226" s="20">
        <v>143005</v>
      </c>
      <c r="C226" s="21" t="s">
        <v>38</v>
      </c>
      <c r="D226" s="22"/>
      <c r="E226" s="22">
        <f t="shared" si="9"/>
        <v>0</v>
      </c>
      <c r="F226" s="22">
        <v>36.364220000000003</v>
      </c>
      <c r="G226" s="22"/>
      <c r="H226" s="22"/>
      <c r="I226" s="22">
        <f t="shared" si="10"/>
        <v>36.364220000000003</v>
      </c>
      <c r="J226" s="22">
        <f t="shared" si="11"/>
        <v>36.364220000000003</v>
      </c>
      <c r="K226" s="22"/>
    </row>
    <row r="227" spans="1:11" x14ac:dyDescent="0.2">
      <c r="A227" s="15">
        <v>221</v>
      </c>
      <c r="B227" s="20">
        <v>143010</v>
      </c>
      <c r="C227" s="21" t="s">
        <v>39</v>
      </c>
      <c r="D227" s="22"/>
      <c r="E227" s="22">
        <f t="shared" si="9"/>
        <v>0</v>
      </c>
      <c r="F227" s="22">
        <v>36.75797</v>
      </c>
      <c r="G227" s="22"/>
      <c r="H227" s="22"/>
      <c r="I227" s="22">
        <f t="shared" si="10"/>
        <v>36.75797</v>
      </c>
      <c r="J227" s="22">
        <f t="shared" si="11"/>
        <v>36.75797</v>
      </c>
      <c r="K227" s="22"/>
    </row>
    <row r="228" spans="1:11" x14ac:dyDescent="0.2">
      <c r="A228" s="15">
        <v>222</v>
      </c>
      <c r="B228" s="20">
        <v>143015</v>
      </c>
      <c r="C228" s="21" t="s">
        <v>40</v>
      </c>
      <c r="D228" s="22"/>
      <c r="E228" s="22">
        <f t="shared" si="9"/>
        <v>0</v>
      </c>
      <c r="F228" s="22">
        <v>55.905799999999999</v>
      </c>
      <c r="G228" s="22"/>
      <c r="H228" s="22"/>
      <c r="I228" s="22">
        <f t="shared" si="10"/>
        <v>55.905799999999999</v>
      </c>
      <c r="J228" s="22">
        <f t="shared" si="11"/>
        <v>55.905799999999999</v>
      </c>
      <c r="K228" s="22"/>
    </row>
    <row r="229" spans="1:11" x14ac:dyDescent="0.2">
      <c r="A229" s="15">
        <v>223</v>
      </c>
      <c r="B229" s="20">
        <v>143020</v>
      </c>
      <c r="C229" s="21" t="s">
        <v>41</v>
      </c>
      <c r="D229" s="22"/>
      <c r="E229" s="22">
        <f t="shared" si="9"/>
        <v>0</v>
      </c>
      <c r="F229" s="22">
        <v>63.594479999999997</v>
      </c>
      <c r="G229" s="22"/>
      <c r="H229" s="22"/>
      <c r="I229" s="22">
        <f t="shared" si="10"/>
        <v>63.594479999999997</v>
      </c>
      <c r="J229" s="22">
        <f t="shared" si="11"/>
        <v>63.594479999999997</v>
      </c>
      <c r="K229" s="22"/>
    </row>
    <row r="230" spans="1:11" x14ac:dyDescent="0.2">
      <c r="A230" s="15">
        <v>224</v>
      </c>
      <c r="B230" s="20">
        <v>143025</v>
      </c>
      <c r="C230" s="21" t="s">
        <v>42</v>
      </c>
      <c r="D230" s="22"/>
      <c r="E230" s="22">
        <f t="shared" si="9"/>
        <v>0</v>
      </c>
      <c r="F230" s="22">
        <v>0</v>
      </c>
      <c r="G230" s="22"/>
      <c r="H230" s="22"/>
      <c r="I230" s="22">
        <f t="shared" si="10"/>
        <v>0</v>
      </c>
      <c r="J230" s="22">
        <f t="shared" si="11"/>
        <v>0</v>
      </c>
      <c r="K230" s="22"/>
    </row>
    <row r="231" spans="1:11" x14ac:dyDescent="0.2">
      <c r="A231" s="15">
        <v>225</v>
      </c>
      <c r="B231" s="20">
        <v>1433</v>
      </c>
      <c r="C231" s="21" t="s">
        <v>87</v>
      </c>
      <c r="D231" s="22">
        <v>0</v>
      </c>
      <c r="E231" s="22">
        <f t="shared" si="9"/>
        <v>0</v>
      </c>
      <c r="F231" s="22"/>
      <c r="G231" s="22">
        <v>0</v>
      </c>
      <c r="H231" s="22">
        <v>0</v>
      </c>
      <c r="I231" s="22">
        <f t="shared" si="10"/>
        <v>0</v>
      </c>
      <c r="J231" s="22">
        <f t="shared" si="11"/>
        <v>0</v>
      </c>
      <c r="K231" s="22"/>
    </row>
    <row r="232" spans="1:11" x14ac:dyDescent="0.2">
      <c r="A232" s="15">
        <v>226</v>
      </c>
      <c r="B232" s="20">
        <v>143305</v>
      </c>
      <c r="C232" s="21" t="s">
        <v>38</v>
      </c>
      <c r="D232" s="22">
        <v>0</v>
      </c>
      <c r="E232" s="22">
        <f t="shared" si="9"/>
        <v>0</v>
      </c>
      <c r="F232" s="22"/>
      <c r="G232" s="22">
        <v>0</v>
      </c>
      <c r="H232" s="22">
        <v>0</v>
      </c>
      <c r="I232" s="22">
        <f t="shared" si="10"/>
        <v>0</v>
      </c>
      <c r="J232" s="22">
        <f t="shared" si="11"/>
        <v>0</v>
      </c>
      <c r="K232" s="22"/>
    </row>
    <row r="233" spans="1:11" x14ac:dyDescent="0.2">
      <c r="A233" s="15">
        <v>227</v>
      </c>
      <c r="B233" s="20">
        <v>143310</v>
      </c>
      <c r="C233" s="21" t="s">
        <v>39</v>
      </c>
      <c r="D233" s="22">
        <v>0</v>
      </c>
      <c r="E233" s="22">
        <f t="shared" si="9"/>
        <v>0</v>
      </c>
      <c r="F233" s="22"/>
      <c r="G233" s="22">
        <v>0</v>
      </c>
      <c r="H233" s="22">
        <v>0</v>
      </c>
      <c r="I233" s="22">
        <f t="shared" si="10"/>
        <v>0</v>
      </c>
      <c r="J233" s="22">
        <f t="shared" si="11"/>
        <v>0</v>
      </c>
      <c r="K233" s="22"/>
    </row>
    <row r="234" spans="1:11" x14ac:dyDescent="0.2">
      <c r="A234" s="15">
        <v>228</v>
      </c>
      <c r="B234" s="20">
        <v>143315</v>
      </c>
      <c r="C234" s="21" t="s">
        <v>40</v>
      </c>
      <c r="D234" s="22">
        <v>0</v>
      </c>
      <c r="E234" s="22">
        <f t="shared" si="9"/>
        <v>0</v>
      </c>
      <c r="F234" s="22"/>
      <c r="G234" s="22">
        <v>0</v>
      </c>
      <c r="H234" s="22">
        <v>0</v>
      </c>
      <c r="I234" s="22">
        <f t="shared" si="10"/>
        <v>0</v>
      </c>
      <c r="J234" s="22">
        <f t="shared" si="11"/>
        <v>0</v>
      </c>
      <c r="K234" s="22"/>
    </row>
    <row r="235" spans="1:11" x14ac:dyDescent="0.2">
      <c r="A235" s="15">
        <v>229</v>
      </c>
      <c r="B235" s="20">
        <v>143320</v>
      </c>
      <c r="C235" s="21" t="s">
        <v>41</v>
      </c>
      <c r="D235" s="22">
        <v>0</v>
      </c>
      <c r="E235" s="22">
        <f t="shared" si="9"/>
        <v>0</v>
      </c>
      <c r="F235" s="22"/>
      <c r="G235" s="22">
        <v>0</v>
      </c>
      <c r="H235" s="22">
        <v>0</v>
      </c>
      <c r="I235" s="22">
        <f t="shared" si="10"/>
        <v>0</v>
      </c>
      <c r="J235" s="22">
        <f t="shared" si="11"/>
        <v>0</v>
      </c>
      <c r="K235" s="22"/>
    </row>
    <row r="236" spans="1:11" x14ac:dyDescent="0.2">
      <c r="A236" s="15">
        <v>230</v>
      </c>
      <c r="B236" s="20">
        <v>143325</v>
      </c>
      <c r="C236" s="21" t="s">
        <v>42</v>
      </c>
      <c r="D236" s="22">
        <v>0</v>
      </c>
      <c r="E236" s="22">
        <f t="shared" si="9"/>
        <v>0</v>
      </c>
      <c r="F236" s="22"/>
      <c r="G236" s="22">
        <v>0</v>
      </c>
      <c r="H236" s="22">
        <v>0</v>
      </c>
      <c r="I236" s="22">
        <f t="shared" si="10"/>
        <v>0</v>
      </c>
      <c r="J236" s="22">
        <f t="shared" si="11"/>
        <v>0</v>
      </c>
      <c r="K236" s="22"/>
    </row>
    <row r="237" spans="1:11" x14ac:dyDescent="0.2">
      <c r="A237" s="15">
        <v>231</v>
      </c>
      <c r="B237" s="20">
        <v>1434</v>
      </c>
      <c r="C237" s="21" t="s">
        <v>88</v>
      </c>
      <c r="D237" s="22">
        <v>0</v>
      </c>
      <c r="E237" s="22">
        <f t="shared" si="9"/>
        <v>0</v>
      </c>
      <c r="F237" s="22">
        <v>0</v>
      </c>
      <c r="G237" s="22">
        <v>0</v>
      </c>
      <c r="H237" s="22">
        <v>0</v>
      </c>
      <c r="I237" s="22">
        <f t="shared" si="10"/>
        <v>0</v>
      </c>
      <c r="J237" s="22">
        <f t="shared" si="11"/>
        <v>0</v>
      </c>
      <c r="K237" s="22"/>
    </row>
    <row r="238" spans="1:11" x14ac:dyDescent="0.2">
      <c r="A238" s="15">
        <v>232</v>
      </c>
      <c r="B238" s="20">
        <v>143405</v>
      </c>
      <c r="C238" s="21" t="s">
        <v>38</v>
      </c>
      <c r="D238" s="22">
        <v>0</v>
      </c>
      <c r="E238" s="22">
        <f t="shared" si="9"/>
        <v>0</v>
      </c>
      <c r="F238" s="22">
        <v>0</v>
      </c>
      <c r="G238" s="22">
        <v>0</v>
      </c>
      <c r="H238" s="22">
        <v>0</v>
      </c>
      <c r="I238" s="22">
        <f t="shared" si="10"/>
        <v>0</v>
      </c>
      <c r="J238" s="22">
        <f t="shared" si="11"/>
        <v>0</v>
      </c>
      <c r="K238" s="22"/>
    </row>
    <row r="239" spans="1:11" x14ac:dyDescent="0.2">
      <c r="A239" s="15">
        <v>233</v>
      </c>
      <c r="B239" s="20">
        <v>143410</v>
      </c>
      <c r="C239" s="21" t="s">
        <v>39</v>
      </c>
      <c r="D239" s="22">
        <v>0</v>
      </c>
      <c r="E239" s="22">
        <f t="shared" si="9"/>
        <v>0</v>
      </c>
      <c r="F239" s="22">
        <v>0</v>
      </c>
      <c r="G239" s="22">
        <v>0</v>
      </c>
      <c r="H239" s="22">
        <v>0</v>
      </c>
      <c r="I239" s="22">
        <f t="shared" si="10"/>
        <v>0</v>
      </c>
      <c r="J239" s="22">
        <f t="shared" si="11"/>
        <v>0</v>
      </c>
      <c r="K239" s="22"/>
    </row>
    <row r="240" spans="1:11" x14ac:dyDescent="0.2">
      <c r="A240" s="15">
        <v>234</v>
      </c>
      <c r="B240" s="20">
        <v>143415</v>
      </c>
      <c r="C240" s="21" t="s">
        <v>40</v>
      </c>
      <c r="D240" s="22">
        <v>0</v>
      </c>
      <c r="E240" s="22">
        <f t="shared" si="9"/>
        <v>0</v>
      </c>
      <c r="F240" s="22">
        <v>0</v>
      </c>
      <c r="G240" s="22">
        <v>0</v>
      </c>
      <c r="H240" s="22">
        <v>0</v>
      </c>
      <c r="I240" s="22">
        <f t="shared" si="10"/>
        <v>0</v>
      </c>
      <c r="J240" s="22">
        <f t="shared" si="11"/>
        <v>0</v>
      </c>
      <c r="K240" s="22"/>
    </row>
    <row r="241" spans="1:11" x14ac:dyDescent="0.2">
      <c r="A241" s="15">
        <v>235</v>
      </c>
      <c r="B241" s="20">
        <v>143420</v>
      </c>
      <c r="C241" s="21" t="s">
        <v>41</v>
      </c>
      <c r="D241" s="22">
        <v>0</v>
      </c>
      <c r="E241" s="22">
        <f t="shared" si="9"/>
        <v>0</v>
      </c>
      <c r="F241" s="22">
        <v>0</v>
      </c>
      <c r="G241" s="22">
        <v>0</v>
      </c>
      <c r="H241" s="22">
        <v>0</v>
      </c>
      <c r="I241" s="22">
        <f t="shared" si="10"/>
        <v>0</v>
      </c>
      <c r="J241" s="22">
        <f t="shared" si="11"/>
        <v>0</v>
      </c>
      <c r="K241" s="22"/>
    </row>
    <row r="242" spans="1:11" x14ac:dyDescent="0.2">
      <c r="A242" s="15">
        <v>236</v>
      </c>
      <c r="B242" s="20">
        <v>143425</v>
      </c>
      <c r="C242" s="21" t="s">
        <v>42</v>
      </c>
      <c r="D242" s="22">
        <v>0</v>
      </c>
      <c r="E242" s="22">
        <f t="shared" si="9"/>
        <v>0</v>
      </c>
      <c r="F242" s="22">
        <v>0</v>
      </c>
      <c r="G242" s="22">
        <v>0</v>
      </c>
      <c r="H242" s="22">
        <v>0</v>
      </c>
      <c r="I242" s="22">
        <f t="shared" si="10"/>
        <v>0</v>
      </c>
      <c r="J242" s="22">
        <f t="shared" si="11"/>
        <v>0</v>
      </c>
      <c r="K242" s="22"/>
    </row>
    <row r="243" spans="1:11" x14ac:dyDescent="0.2">
      <c r="A243" s="15">
        <v>237</v>
      </c>
      <c r="B243" s="20">
        <v>1435</v>
      </c>
      <c r="C243" s="21" t="s">
        <v>89</v>
      </c>
      <c r="D243" s="22">
        <v>0</v>
      </c>
      <c r="E243" s="22">
        <f t="shared" si="9"/>
        <v>0</v>
      </c>
      <c r="F243" s="22"/>
      <c r="G243" s="22"/>
      <c r="H243" s="22"/>
      <c r="I243" s="22">
        <f t="shared" si="10"/>
        <v>0</v>
      </c>
      <c r="J243" s="22">
        <f t="shared" si="11"/>
        <v>0</v>
      </c>
      <c r="K243" s="22"/>
    </row>
    <row r="244" spans="1:11" x14ac:dyDescent="0.2">
      <c r="A244" s="15">
        <v>238</v>
      </c>
      <c r="B244" s="20">
        <v>143505</v>
      </c>
      <c r="C244" s="21" t="s">
        <v>38</v>
      </c>
      <c r="D244" s="22">
        <v>0</v>
      </c>
      <c r="E244" s="22">
        <f t="shared" si="9"/>
        <v>0</v>
      </c>
      <c r="F244" s="22"/>
      <c r="G244" s="22"/>
      <c r="H244" s="22"/>
      <c r="I244" s="22">
        <f t="shared" si="10"/>
        <v>0</v>
      </c>
      <c r="J244" s="22">
        <f t="shared" si="11"/>
        <v>0</v>
      </c>
      <c r="K244" s="22"/>
    </row>
    <row r="245" spans="1:11" x14ac:dyDescent="0.2">
      <c r="A245" s="15">
        <v>239</v>
      </c>
      <c r="B245" s="20">
        <v>143510</v>
      </c>
      <c r="C245" s="21" t="s">
        <v>39</v>
      </c>
      <c r="D245" s="22">
        <v>0</v>
      </c>
      <c r="E245" s="22">
        <f t="shared" si="9"/>
        <v>0</v>
      </c>
      <c r="F245" s="22"/>
      <c r="G245" s="22"/>
      <c r="H245" s="22"/>
      <c r="I245" s="22">
        <f t="shared" si="10"/>
        <v>0</v>
      </c>
      <c r="J245" s="22">
        <f t="shared" si="11"/>
        <v>0</v>
      </c>
      <c r="K245" s="22"/>
    </row>
    <row r="246" spans="1:11" x14ac:dyDescent="0.2">
      <c r="A246" s="15">
        <v>240</v>
      </c>
      <c r="B246" s="20">
        <v>143515</v>
      </c>
      <c r="C246" s="21" t="s">
        <v>40</v>
      </c>
      <c r="D246" s="22">
        <v>0</v>
      </c>
      <c r="E246" s="22">
        <f t="shared" si="9"/>
        <v>0</v>
      </c>
      <c r="F246" s="22"/>
      <c r="G246" s="22"/>
      <c r="H246" s="22"/>
      <c r="I246" s="22">
        <f t="shared" si="10"/>
        <v>0</v>
      </c>
      <c r="J246" s="22">
        <f t="shared" si="11"/>
        <v>0</v>
      </c>
      <c r="K246" s="22"/>
    </row>
    <row r="247" spans="1:11" x14ac:dyDescent="0.2">
      <c r="A247" s="15">
        <v>241</v>
      </c>
      <c r="B247" s="20">
        <v>143520</v>
      </c>
      <c r="C247" s="21" t="s">
        <v>41</v>
      </c>
      <c r="D247" s="22">
        <v>0</v>
      </c>
      <c r="E247" s="22">
        <f t="shared" si="9"/>
        <v>0</v>
      </c>
      <c r="F247" s="22"/>
      <c r="G247" s="22"/>
      <c r="H247" s="22"/>
      <c r="I247" s="22">
        <f t="shared" si="10"/>
        <v>0</v>
      </c>
      <c r="J247" s="22">
        <f t="shared" si="11"/>
        <v>0</v>
      </c>
      <c r="K247" s="22"/>
    </row>
    <row r="248" spans="1:11" x14ac:dyDescent="0.2">
      <c r="A248" s="15">
        <v>242</v>
      </c>
      <c r="B248" s="20">
        <v>143525</v>
      </c>
      <c r="C248" s="21" t="s">
        <v>42</v>
      </c>
      <c r="D248" s="22">
        <v>0</v>
      </c>
      <c r="E248" s="22">
        <f t="shared" si="9"/>
        <v>0</v>
      </c>
      <c r="F248" s="22"/>
      <c r="G248" s="22"/>
      <c r="H248" s="22"/>
      <c r="I248" s="22">
        <f t="shared" si="10"/>
        <v>0</v>
      </c>
      <c r="J248" s="22">
        <f t="shared" si="11"/>
        <v>0</v>
      </c>
      <c r="K248" s="22"/>
    </row>
    <row r="249" spans="1:11" x14ac:dyDescent="0.2">
      <c r="A249" s="15">
        <v>243</v>
      </c>
      <c r="B249" s="20">
        <v>1436</v>
      </c>
      <c r="C249" s="21" t="s">
        <v>90</v>
      </c>
      <c r="D249" s="22"/>
      <c r="E249" s="22">
        <f t="shared" si="9"/>
        <v>0</v>
      </c>
      <c r="F249" s="22"/>
      <c r="G249" s="22">
        <v>0</v>
      </c>
      <c r="H249" s="22">
        <v>0</v>
      </c>
      <c r="I249" s="22">
        <f t="shared" si="10"/>
        <v>0</v>
      </c>
      <c r="J249" s="22">
        <f t="shared" si="11"/>
        <v>0</v>
      </c>
      <c r="K249" s="22"/>
    </row>
    <row r="250" spans="1:11" x14ac:dyDescent="0.2">
      <c r="A250" s="15">
        <v>244</v>
      </c>
      <c r="B250" s="20">
        <v>143605</v>
      </c>
      <c r="C250" s="21" t="s">
        <v>38</v>
      </c>
      <c r="D250" s="22"/>
      <c r="E250" s="22">
        <f t="shared" si="9"/>
        <v>0</v>
      </c>
      <c r="F250" s="22"/>
      <c r="G250" s="22">
        <v>0</v>
      </c>
      <c r="H250" s="22">
        <v>0</v>
      </c>
      <c r="I250" s="22">
        <f t="shared" si="10"/>
        <v>0</v>
      </c>
      <c r="J250" s="22">
        <f t="shared" si="11"/>
        <v>0</v>
      </c>
      <c r="K250" s="22"/>
    </row>
    <row r="251" spans="1:11" x14ac:dyDescent="0.2">
      <c r="A251" s="15">
        <v>245</v>
      </c>
      <c r="B251" s="20">
        <v>143610</v>
      </c>
      <c r="C251" s="21" t="s">
        <v>39</v>
      </c>
      <c r="D251" s="22"/>
      <c r="E251" s="22">
        <f t="shared" si="9"/>
        <v>0</v>
      </c>
      <c r="F251" s="22"/>
      <c r="G251" s="22">
        <v>0</v>
      </c>
      <c r="H251" s="22">
        <v>0</v>
      </c>
      <c r="I251" s="22">
        <f t="shared" si="10"/>
        <v>0</v>
      </c>
      <c r="J251" s="22">
        <f t="shared" si="11"/>
        <v>0</v>
      </c>
      <c r="K251" s="22"/>
    </row>
    <row r="252" spans="1:11" x14ac:dyDescent="0.2">
      <c r="A252" s="15">
        <v>246</v>
      </c>
      <c r="B252" s="20">
        <v>143615</v>
      </c>
      <c r="C252" s="21" t="s">
        <v>40</v>
      </c>
      <c r="D252" s="22"/>
      <c r="E252" s="22">
        <f t="shared" si="9"/>
        <v>0</v>
      </c>
      <c r="F252" s="22"/>
      <c r="G252" s="22">
        <v>0</v>
      </c>
      <c r="H252" s="22">
        <v>0</v>
      </c>
      <c r="I252" s="22">
        <f t="shared" si="10"/>
        <v>0</v>
      </c>
      <c r="J252" s="22">
        <f t="shared" si="11"/>
        <v>0</v>
      </c>
      <c r="K252" s="22"/>
    </row>
    <row r="253" spans="1:11" x14ac:dyDescent="0.2">
      <c r="A253" s="15">
        <v>247</v>
      </c>
      <c r="B253" s="20">
        <v>143620</v>
      </c>
      <c r="C253" s="21" t="s">
        <v>41</v>
      </c>
      <c r="D253" s="22"/>
      <c r="E253" s="22">
        <f t="shared" si="9"/>
        <v>0</v>
      </c>
      <c r="F253" s="22"/>
      <c r="G253" s="22">
        <v>0</v>
      </c>
      <c r="H253" s="22">
        <v>0</v>
      </c>
      <c r="I253" s="22">
        <f t="shared" si="10"/>
        <v>0</v>
      </c>
      <c r="J253" s="22">
        <f t="shared" si="11"/>
        <v>0</v>
      </c>
      <c r="K253" s="22"/>
    </row>
    <row r="254" spans="1:11" x14ac:dyDescent="0.2">
      <c r="A254" s="15">
        <v>248</v>
      </c>
      <c r="B254" s="20">
        <v>143625</v>
      </c>
      <c r="C254" s="21" t="s">
        <v>42</v>
      </c>
      <c r="D254" s="22"/>
      <c r="E254" s="22">
        <f t="shared" si="9"/>
        <v>0</v>
      </c>
      <c r="F254" s="22"/>
      <c r="G254" s="22">
        <v>0</v>
      </c>
      <c r="H254" s="22">
        <v>0</v>
      </c>
      <c r="I254" s="22">
        <f t="shared" si="10"/>
        <v>0</v>
      </c>
      <c r="J254" s="22">
        <f t="shared" si="11"/>
        <v>0</v>
      </c>
      <c r="K254" s="22"/>
    </row>
    <row r="255" spans="1:11" x14ac:dyDescent="0.2">
      <c r="A255" s="15">
        <v>249</v>
      </c>
      <c r="B255" s="20">
        <v>1437</v>
      </c>
      <c r="C255" s="21" t="s">
        <v>91</v>
      </c>
      <c r="D255" s="22"/>
      <c r="E255" s="22">
        <f t="shared" si="9"/>
        <v>0</v>
      </c>
      <c r="F255" s="22"/>
      <c r="G255" s="22"/>
      <c r="H255" s="22"/>
      <c r="I255" s="22">
        <f t="shared" si="10"/>
        <v>0</v>
      </c>
      <c r="J255" s="22">
        <f t="shared" si="11"/>
        <v>0</v>
      </c>
      <c r="K255" s="22">
        <v>0</v>
      </c>
    </row>
    <row r="256" spans="1:11" x14ac:dyDescent="0.2">
      <c r="A256" s="15">
        <v>250</v>
      </c>
      <c r="B256" s="20">
        <v>143705</v>
      </c>
      <c r="C256" s="21" t="s">
        <v>38</v>
      </c>
      <c r="D256" s="22"/>
      <c r="E256" s="22">
        <f t="shared" si="9"/>
        <v>0</v>
      </c>
      <c r="F256" s="22"/>
      <c r="G256" s="22"/>
      <c r="H256" s="22"/>
      <c r="I256" s="22">
        <f t="shared" si="10"/>
        <v>0</v>
      </c>
      <c r="J256" s="22">
        <f t="shared" si="11"/>
        <v>0</v>
      </c>
      <c r="K256" s="22">
        <v>0</v>
      </c>
    </row>
    <row r="257" spans="1:11" x14ac:dyDescent="0.2">
      <c r="A257" s="15">
        <v>251</v>
      </c>
      <c r="B257" s="20">
        <v>143710</v>
      </c>
      <c r="C257" s="21" t="s">
        <v>39</v>
      </c>
      <c r="D257" s="22"/>
      <c r="E257" s="22">
        <f t="shared" si="9"/>
        <v>0</v>
      </c>
      <c r="F257" s="22"/>
      <c r="G257" s="22"/>
      <c r="H257" s="22"/>
      <c r="I257" s="22">
        <f t="shared" si="10"/>
        <v>0</v>
      </c>
      <c r="J257" s="22">
        <f t="shared" si="11"/>
        <v>0</v>
      </c>
      <c r="K257" s="22">
        <v>0</v>
      </c>
    </row>
    <row r="258" spans="1:11" x14ac:dyDescent="0.2">
      <c r="A258" s="15">
        <v>252</v>
      </c>
      <c r="B258" s="20">
        <v>143715</v>
      </c>
      <c r="C258" s="21" t="s">
        <v>40</v>
      </c>
      <c r="D258" s="22"/>
      <c r="E258" s="22">
        <f t="shared" si="9"/>
        <v>0</v>
      </c>
      <c r="F258" s="22"/>
      <c r="G258" s="22"/>
      <c r="H258" s="22"/>
      <c r="I258" s="22">
        <f t="shared" si="10"/>
        <v>0</v>
      </c>
      <c r="J258" s="22">
        <f t="shared" si="11"/>
        <v>0</v>
      </c>
      <c r="K258" s="22">
        <v>0</v>
      </c>
    </row>
    <row r="259" spans="1:11" x14ac:dyDescent="0.2">
      <c r="A259" s="15">
        <v>253</v>
      </c>
      <c r="B259" s="20">
        <v>143720</v>
      </c>
      <c r="C259" s="21" t="s">
        <v>41</v>
      </c>
      <c r="D259" s="22"/>
      <c r="E259" s="22">
        <f t="shared" si="9"/>
        <v>0</v>
      </c>
      <c r="F259" s="22"/>
      <c r="G259" s="22"/>
      <c r="H259" s="22"/>
      <c r="I259" s="22">
        <f t="shared" si="10"/>
        <v>0</v>
      </c>
      <c r="J259" s="22">
        <f t="shared" si="11"/>
        <v>0</v>
      </c>
      <c r="K259" s="22">
        <v>0</v>
      </c>
    </row>
    <row r="260" spans="1:11" x14ac:dyDescent="0.2">
      <c r="A260" s="15">
        <v>254</v>
      </c>
      <c r="B260" s="20">
        <v>143725</v>
      </c>
      <c r="C260" s="21" t="s">
        <v>42</v>
      </c>
      <c r="D260" s="22"/>
      <c r="E260" s="22">
        <f t="shared" si="9"/>
        <v>0</v>
      </c>
      <c r="F260" s="22"/>
      <c r="G260" s="22"/>
      <c r="H260" s="22"/>
      <c r="I260" s="22">
        <f t="shared" si="10"/>
        <v>0</v>
      </c>
      <c r="J260" s="22">
        <f t="shared" si="11"/>
        <v>0</v>
      </c>
      <c r="K260" s="22">
        <v>0</v>
      </c>
    </row>
    <row r="261" spans="1:11" x14ac:dyDescent="0.2">
      <c r="A261" s="15">
        <v>255</v>
      </c>
      <c r="B261" s="20">
        <v>1438</v>
      </c>
      <c r="C261" s="21" t="s">
        <v>92</v>
      </c>
      <c r="D261" s="22"/>
      <c r="E261" s="22">
        <f t="shared" si="9"/>
        <v>0</v>
      </c>
      <c r="F261" s="22">
        <v>0</v>
      </c>
      <c r="G261" s="22"/>
      <c r="H261" s="22"/>
      <c r="I261" s="22">
        <f t="shared" si="10"/>
        <v>0</v>
      </c>
      <c r="J261" s="22">
        <f t="shared" si="11"/>
        <v>0</v>
      </c>
      <c r="K261" s="22"/>
    </row>
    <row r="262" spans="1:11" x14ac:dyDescent="0.2">
      <c r="A262" s="15">
        <v>256</v>
      </c>
      <c r="B262" s="20">
        <v>143805</v>
      </c>
      <c r="C262" s="21" t="s">
        <v>38</v>
      </c>
      <c r="D262" s="22"/>
      <c r="E262" s="22">
        <f t="shared" si="9"/>
        <v>0</v>
      </c>
      <c r="F262" s="22">
        <v>0</v>
      </c>
      <c r="G262" s="22"/>
      <c r="H262" s="22"/>
      <c r="I262" s="22">
        <f t="shared" si="10"/>
        <v>0</v>
      </c>
      <c r="J262" s="22">
        <f t="shared" si="11"/>
        <v>0</v>
      </c>
      <c r="K262" s="22"/>
    </row>
    <row r="263" spans="1:11" x14ac:dyDescent="0.2">
      <c r="A263" s="15">
        <v>257</v>
      </c>
      <c r="B263" s="20">
        <v>143810</v>
      </c>
      <c r="C263" s="21" t="s">
        <v>39</v>
      </c>
      <c r="D263" s="22"/>
      <c r="E263" s="22">
        <f t="shared" si="9"/>
        <v>0</v>
      </c>
      <c r="F263" s="22">
        <v>0</v>
      </c>
      <c r="G263" s="22"/>
      <c r="H263" s="22"/>
      <c r="I263" s="22">
        <f t="shared" si="10"/>
        <v>0</v>
      </c>
      <c r="J263" s="22">
        <f t="shared" si="11"/>
        <v>0</v>
      </c>
      <c r="K263" s="22"/>
    </row>
    <row r="264" spans="1:11" x14ac:dyDescent="0.2">
      <c r="A264" s="15">
        <v>258</v>
      </c>
      <c r="B264" s="20">
        <v>143815</v>
      </c>
      <c r="C264" s="21" t="s">
        <v>40</v>
      </c>
      <c r="D264" s="22"/>
      <c r="E264" s="22">
        <f t="shared" si="9"/>
        <v>0</v>
      </c>
      <c r="F264" s="22">
        <v>0</v>
      </c>
      <c r="G264" s="22"/>
      <c r="H264" s="22"/>
      <c r="I264" s="22">
        <f t="shared" si="10"/>
        <v>0</v>
      </c>
      <c r="J264" s="22">
        <f t="shared" si="11"/>
        <v>0</v>
      </c>
      <c r="K264" s="22"/>
    </row>
    <row r="265" spans="1:11" x14ac:dyDescent="0.2">
      <c r="A265" s="15">
        <v>259</v>
      </c>
      <c r="B265" s="20">
        <v>143820</v>
      </c>
      <c r="C265" s="21" t="s">
        <v>41</v>
      </c>
      <c r="D265" s="22"/>
      <c r="E265" s="22">
        <f t="shared" si="9"/>
        <v>0</v>
      </c>
      <c r="F265" s="22">
        <v>0</v>
      </c>
      <c r="G265" s="22"/>
      <c r="H265" s="22"/>
      <c r="I265" s="22">
        <f t="shared" si="10"/>
        <v>0</v>
      </c>
      <c r="J265" s="22">
        <f t="shared" si="11"/>
        <v>0</v>
      </c>
      <c r="K265" s="22"/>
    </row>
    <row r="266" spans="1:11" x14ac:dyDescent="0.2">
      <c r="A266" s="15">
        <v>260</v>
      </c>
      <c r="B266" s="20">
        <v>143825</v>
      </c>
      <c r="C266" s="21" t="s">
        <v>42</v>
      </c>
      <c r="D266" s="22"/>
      <c r="E266" s="22">
        <f t="shared" ref="E266:E329" si="12">+D266</f>
        <v>0</v>
      </c>
      <c r="F266" s="22">
        <v>0</v>
      </c>
      <c r="G266" s="22"/>
      <c r="H266" s="22"/>
      <c r="I266" s="22">
        <f t="shared" ref="I266:I329" si="13">+SUM(F266:H266)</f>
        <v>0</v>
      </c>
      <c r="J266" s="22">
        <f t="shared" ref="J266:J329" si="14">+E266+I266</f>
        <v>0</v>
      </c>
      <c r="K266" s="22"/>
    </row>
    <row r="267" spans="1:11" x14ac:dyDescent="0.2">
      <c r="A267" s="15">
        <v>261</v>
      </c>
      <c r="B267" s="20">
        <v>1441</v>
      </c>
      <c r="C267" s="21" t="s">
        <v>93</v>
      </c>
      <c r="D267" s="22">
        <v>0</v>
      </c>
      <c r="E267" s="22">
        <f t="shared" si="12"/>
        <v>0</v>
      </c>
      <c r="F267" s="22"/>
      <c r="G267" s="22">
        <v>14241.96278</v>
      </c>
      <c r="H267" s="22">
        <v>605.90524000000005</v>
      </c>
      <c r="I267" s="22">
        <f t="shared" si="13"/>
        <v>14847.86802</v>
      </c>
      <c r="J267" s="22">
        <f t="shared" si="14"/>
        <v>14847.86802</v>
      </c>
      <c r="K267" s="22"/>
    </row>
    <row r="268" spans="1:11" x14ac:dyDescent="0.2">
      <c r="A268" s="15">
        <v>262</v>
      </c>
      <c r="B268" s="20">
        <v>144105</v>
      </c>
      <c r="C268" s="21" t="s">
        <v>38</v>
      </c>
      <c r="D268" s="22">
        <v>0</v>
      </c>
      <c r="E268" s="22">
        <f t="shared" si="12"/>
        <v>0</v>
      </c>
      <c r="F268" s="22"/>
      <c r="G268" s="22">
        <v>1080.20317</v>
      </c>
      <c r="H268" s="22">
        <v>359.75216</v>
      </c>
      <c r="I268" s="22">
        <f t="shared" si="13"/>
        <v>1439.95533</v>
      </c>
      <c r="J268" s="22">
        <f t="shared" si="14"/>
        <v>1439.95533</v>
      </c>
      <c r="K268" s="22"/>
    </row>
    <row r="269" spans="1:11" x14ac:dyDescent="0.2">
      <c r="A269" s="15">
        <v>263</v>
      </c>
      <c r="B269" s="20">
        <v>144110</v>
      </c>
      <c r="C269" s="21" t="s">
        <v>39</v>
      </c>
      <c r="D269" s="22">
        <v>0</v>
      </c>
      <c r="E269" s="22">
        <f t="shared" si="12"/>
        <v>0</v>
      </c>
      <c r="F269" s="22"/>
      <c r="G269" s="22">
        <v>1238.4947199999999</v>
      </c>
      <c r="H269" s="22">
        <v>19.685220000000001</v>
      </c>
      <c r="I269" s="22">
        <f t="shared" si="13"/>
        <v>1258.17994</v>
      </c>
      <c r="J269" s="22">
        <f t="shared" si="14"/>
        <v>1258.17994</v>
      </c>
      <c r="K269" s="22"/>
    </row>
    <row r="270" spans="1:11" x14ac:dyDescent="0.2">
      <c r="A270" s="15">
        <v>264</v>
      </c>
      <c r="B270" s="20">
        <v>144115</v>
      </c>
      <c r="C270" s="21" t="s">
        <v>40</v>
      </c>
      <c r="D270" s="22">
        <v>0</v>
      </c>
      <c r="E270" s="22">
        <f t="shared" si="12"/>
        <v>0</v>
      </c>
      <c r="F270" s="22"/>
      <c r="G270" s="22">
        <v>1441.9910400000001</v>
      </c>
      <c r="H270" s="22">
        <v>5.9119099999999998</v>
      </c>
      <c r="I270" s="22">
        <f t="shared" si="13"/>
        <v>1447.9029500000001</v>
      </c>
      <c r="J270" s="22">
        <f t="shared" si="14"/>
        <v>1447.9029500000001</v>
      </c>
      <c r="K270" s="22"/>
    </row>
    <row r="271" spans="1:11" x14ac:dyDescent="0.2">
      <c r="A271" s="15">
        <v>265</v>
      </c>
      <c r="B271" s="20">
        <v>144120</v>
      </c>
      <c r="C271" s="21" t="s">
        <v>41</v>
      </c>
      <c r="D271" s="22">
        <v>0</v>
      </c>
      <c r="E271" s="22">
        <f t="shared" si="12"/>
        <v>0</v>
      </c>
      <c r="F271" s="22"/>
      <c r="G271" s="22">
        <v>2529.9381199999998</v>
      </c>
      <c r="H271" s="22">
        <v>26.050370000000001</v>
      </c>
      <c r="I271" s="22">
        <f t="shared" si="13"/>
        <v>2555.9884899999997</v>
      </c>
      <c r="J271" s="22">
        <f t="shared" si="14"/>
        <v>2555.9884899999997</v>
      </c>
      <c r="K271" s="22"/>
    </row>
    <row r="272" spans="1:11" x14ac:dyDescent="0.2">
      <c r="A272" s="15">
        <v>266</v>
      </c>
      <c r="B272" s="20">
        <v>144125</v>
      </c>
      <c r="C272" s="21" t="s">
        <v>42</v>
      </c>
      <c r="D272" s="22">
        <v>0</v>
      </c>
      <c r="E272" s="22">
        <f t="shared" si="12"/>
        <v>0</v>
      </c>
      <c r="F272" s="22"/>
      <c r="G272" s="22">
        <v>7951.3357299999998</v>
      </c>
      <c r="H272" s="22">
        <v>194.50558000000001</v>
      </c>
      <c r="I272" s="22">
        <f t="shared" si="13"/>
        <v>8145.8413099999998</v>
      </c>
      <c r="J272" s="22">
        <f t="shared" si="14"/>
        <v>8145.8413099999998</v>
      </c>
      <c r="K272" s="22"/>
    </row>
    <row r="273" spans="1:11" x14ac:dyDescent="0.2">
      <c r="A273" s="15">
        <v>267</v>
      </c>
      <c r="B273" s="20">
        <v>1442</v>
      </c>
      <c r="C273" s="21" t="s">
        <v>94</v>
      </c>
      <c r="D273" s="22">
        <v>0</v>
      </c>
      <c r="E273" s="22">
        <f t="shared" si="12"/>
        <v>0</v>
      </c>
      <c r="F273" s="22">
        <v>0</v>
      </c>
      <c r="G273" s="22">
        <v>86.170529999999999</v>
      </c>
      <c r="H273" s="22">
        <v>0</v>
      </c>
      <c r="I273" s="22">
        <f t="shared" si="13"/>
        <v>86.170529999999999</v>
      </c>
      <c r="J273" s="22">
        <f t="shared" si="14"/>
        <v>86.170529999999999</v>
      </c>
      <c r="K273" s="22"/>
    </row>
    <row r="274" spans="1:11" x14ac:dyDescent="0.2">
      <c r="A274" s="15">
        <v>268</v>
      </c>
      <c r="B274" s="20">
        <v>144205</v>
      </c>
      <c r="C274" s="21" t="s">
        <v>38</v>
      </c>
      <c r="D274" s="22">
        <v>0</v>
      </c>
      <c r="E274" s="22">
        <f t="shared" si="12"/>
        <v>0</v>
      </c>
      <c r="F274" s="22">
        <v>0</v>
      </c>
      <c r="G274" s="22">
        <v>7.1190199999999999</v>
      </c>
      <c r="H274" s="22">
        <v>0</v>
      </c>
      <c r="I274" s="22">
        <f t="shared" si="13"/>
        <v>7.1190199999999999</v>
      </c>
      <c r="J274" s="22">
        <f t="shared" si="14"/>
        <v>7.1190199999999999</v>
      </c>
      <c r="K274" s="22"/>
    </row>
    <row r="275" spans="1:11" x14ac:dyDescent="0.2">
      <c r="A275" s="15">
        <v>269</v>
      </c>
      <c r="B275" s="20">
        <v>144210</v>
      </c>
      <c r="C275" s="21" t="s">
        <v>39</v>
      </c>
      <c r="D275" s="22">
        <v>0</v>
      </c>
      <c r="E275" s="22">
        <f t="shared" si="12"/>
        <v>0</v>
      </c>
      <c r="F275" s="22">
        <v>0</v>
      </c>
      <c r="G275" s="22">
        <v>10.20223</v>
      </c>
      <c r="H275" s="22">
        <v>0</v>
      </c>
      <c r="I275" s="22">
        <f t="shared" si="13"/>
        <v>10.20223</v>
      </c>
      <c r="J275" s="22">
        <f t="shared" si="14"/>
        <v>10.20223</v>
      </c>
      <c r="K275" s="22"/>
    </row>
    <row r="276" spans="1:11" x14ac:dyDescent="0.2">
      <c r="A276" s="15">
        <v>270</v>
      </c>
      <c r="B276" s="20">
        <v>144215</v>
      </c>
      <c r="C276" s="21" t="s">
        <v>40</v>
      </c>
      <c r="D276" s="22">
        <v>0</v>
      </c>
      <c r="E276" s="22">
        <f t="shared" si="12"/>
        <v>0</v>
      </c>
      <c r="F276" s="22">
        <v>0</v>
      </c>
      <c r="G276" s="22">
        <v>13.82094</v>
      </c>
      <c r="H276" s="22">
        <v>0</v>
      </c>
      <c r="I276" s="22">
        <f t="shared" si="13"/>
        <v>13.82094</v>
      </c>
      <c r="J276" s="22">
        <f t="shared" si="14"/>
        <v>13.82094</v>
      </c>
      <c r="K276" s="22"/>
    </row>
    <row r="277" spans="1:11" x14ac:dyDescent="0.2">
      <c r="A277" s="15">
        <v>271</v>
      </c>
      <c r="B277" s="20">
        <v>144220</v>
      </c>
      <c r="C277" s="21" t="s">
        <v>41</v>
      </c>
      <c r="D277" s="22">
        <v>0</v>
      </c>
      <c r="E277" s="22">
        <f t="shared" si="12"/>
        <v>0</v>
      </c>
      <c r="F277" s="22">
        <v>0</v>
      </c>
      <c r="G277" s="22">
        <v>23.80414</v>
      </c>
      <c r="H277" s="22">
        <v>0</v>
      </c>
      <c r="I277" s="22">
        <f t="shared" si="13"/>
        <v>23.80414</v>
      </c>
      <c r="J277" s="22">
        <f t="shared" si="14"/>
        <v>23.80414</v>
      </c>
      <c r="K277" s="22"/>
    </row>
    <row r="278" spans="1:11" x14ac:dyDescent="0.2">
      <c r="A278" s="15">
        <v>272</v>
      </c>
      <c r="B278" s="20">
        <v>144225</v>
      </c>
      <c r="C278" s="21" t="s">
        <v>42</v>
      </c>
      <c r="D278" s="22">
        <v>0</v>
      </c>
      <c r="E278" s="22">
        <f t="shared" si="12"/>
        <v>0</v>
      </c>
      <c r="F278" s="22">
        <v>0</v>
      </c>
      <c r="G278" s="22">
        <v>31.2242</v>
      </c>
      <c r="H278" s="22">
        <v>0</v>
      </c>
      <c r="I278" s="22">
        <f t="shared" si="13"/>
        <v>31.2242</v>
      </c>
      <c r="J278" s="22">
        <f t="shared" si="14"/>
        <v>31.2242</v>
      </c>
      <c r="K278" s="22"/>
    </row>
    <row r="279" spans="1:11" x14ac:dyDescent="0.2">
      <c r="A279" s="15">
        <v>273</v>
      </c>
      <c r="B279" s="20">
        <v>1443</v>
      </c>
      <c r="C279" s="21" t="s">
        <v>95</v>
      </c>
      <c r="D279" s="22">
        <v>208.40136000000001</v>
      </c>
      <c r="E279" s="22">
        <f t="shared" si="12"/>
        <v>208.40136000000001</v>
      </c>
      <c r="F279" s="22"/>
      <c r="G279" s="22"/>
      <c r="H279" s="22"/>
      <c r="I279" s="22">
        <f t="shared" si="13"/>
        <v>0</v>
      </c>
      <c r="J279" s="22">
        <f t="shared" si="14"/>
        <v>208.40136000000001</v>
      </c>
      <c r="K279" s="22"/>
    </row>
    <row r="280" spans="1:11" x14ac:dyDescent="0.2">
      <c r="A280" s="15">
        <v>274</v>
      </c>
      <c r="B280" s="20">
        <v>144305</v>
      </c>
      <c r="C280" s="21" t="s">
        <v>38</v>
      </c>
      <c r="D280" s="22">
        <v>5.5843499999999997</v>
      </c>
      <c r="E280" s="22">
        <f t="shared" si="12"/>
        <v>5.5843499999999997</v>
      </c>
      <c r="F280" s="22"/>
      <c r="G280" s="22"/>
      <c r="H280" s="22"/>
      <c r="I280" s="22">
        <f t="shared" si="13"/>
        <v>0</v>
      </c>
      <c r="J280" s="22">
        <f t="shared" si="14"/>
        <v>5.5843499999999997</v>
      </c>
      <c r="K280" s="22"/>
    </row>
    <row r="281" spans="1:11" x14ac:dyDescent="0.2">
      <c r="A281" s="15">
        <v>275</v>
      </c>
      <c r="B281" s="20">
        <v>144310</v>
      </c>
      <c r="C281" s="21" t="s">
        <v>39</v>
      </c>
      <c r="D281" s="22">
        <v>3.5790199999999999</v>
      </c>
      <c r="E281" s="22">
        <f t="shared" si="12"/>
        <v>3.5790199999999999</v>
      </c>
      <c r="F281" s="22"/>
      <c r="G281" s="22"/>
      <c r="H281" s="22"/>
      <c r="I281" s="22">
        <f t="shared" si="13"/>
        <v>0</v>
      </c>
      <c r="J281" s="22">
        <f t="shared" si="14"/>
        <v>3.5790199999999999</v>
      </c>
      <c r="K281" s="22"/>
    </row>
    <row r="282" spans="1:11" x14ac:dyDescent="0.2">
      <c r="A282" s="15">
        <v>276</v>
      </c>
      <c r="B282" s="20">
        <v>144315</v>
      </c>
      <c r="C282" s="21" t="s">
        <v>40</v>
      </c>
      <c r="D282" s="22">
        <v>5.3304400000000003</v>
      </c>
      <c r="E282" s="22">
        <f t="shared" si="12"/>
        <v>5.3304400000000003</v>
      </c>
      <c r="F282" s="22"/>
      <c r="G282" s="22"/>
      <c r="H282" s="22"/>
      <c r="I282" s="22">
        <f t="shared" si="13"/>
        <v>0</v>
      </c>
      <c r="J282" s="22">
        <f t="shared" si="14"/>
        <v>5.3304400000000003</v>
      </c>
      <c r="K282" s="22"/>
    </row>
    <row r="283" spans="1:11" x14ac:dyDescent="0.2">
      <c r="A283" s="15">
        <v>277</v>
      </c>
      <c r="B283" s="20">
        <v>144320</v>
      </c>
      <c r="C283" s="21" t="s">
        <v>41</v>
      </c>
      <c r="D283" s="22">
        <v>10.30321</v>
      </c>
      <c r="E283" s="22">
        <f t="shared" si="12"/>
        <v>10.30321</v>
      </c>
      <c r="F283" s="22"/>
      <c r="G283" s="22"/>
      <c r="H283" s="22"/>
      <c r="I283" s="22">
        <f t="shared" si="13"/>
        <v>0</v>
      </c>
      <c r="J283" s="22">
        <f t="shared" si="14"/>
        <v>10.30321</v>
      </c>
      <c r="K283" s="22"/>
    </row>
    <row r="284" spans="1:11" x14ac:dyDescent="0.2">
      <c r="A284" s="15">
        <v>278</v>
      </c>
      <c r="B284" s="20">
        <v>144325</v>
      </c>
      <c r="C284" s="21" t="s">
        <v>42</v>
      </c>
      <c r="D284" s="22">
        <v>183.60434000000001</v>
      </c>
      <c r="E284" s="22">
        <f t="shared" si="12"/>
        <v>183.60434000000001</v>
      </c>
      <c r="F284" s="22"/>
      <c r="G284" s="22"/>
      <c r="H284" s="22"/>
      <c r="I284" s="22">
        <f t="shared" si="13"/>
        <v>0</v>
      </c>
      <c r="J284" s="22">
        <f t="shared" si="14"/>
        <v>183.60434000000001</v>
      </c>
      <c r="K284" s="22"/>
    </row>
    <row r="285" spans="1:11" x14ac:dyDescent="0.2">
      <c r="A285" s="15">
        <v>279</v>
      </c>
      <c r="B285" s="20">
        <v>1444</v>
      </c>
      <c r="C285" s="21" t="s">
        <v>96</v>
      </c>
      <c r="D285" s="22"/>
      <c r="E285" s="22">
        <f t="shared" si="12"/>
        <v>0</v>
      </c>
      <c r="F285" s="22"/>
      <c r="G285" s="22">
        <v>183.86063999999999</v>
      </c>
      <c r="H285" s="22">
        <v>0</v>
      </c>
      <c r="I285" s="22">
        <f t="shared" si="13"/>
        <v>183.86063999999999</v>
      </c>
      <c r="J285" s="22">
        <f t="shared" si="14"/>
        <v>183.86063999999999</v>
      </c>
      <c r="K285" s="22"/>
    </row>
    <row r="286" spans="1:11" x14ac:dyDescent="0.2">
      <c r="A286" s="15">
        <v>280</v>
      </c>
      <c r="B286" s="20">
        <v>144405</v>
      </c>
      <c r="C286" s="21" t="s">
        <v>38</v>
      </c>
      <c r="D286" s="22"/>
      <c r="E286" s="22">
        <f t="shared" si="12"/>
        <v>0</v>
      </c>
      <c r="F286" s="22"/>
      <c r="G286" s="22">
        <v>12.13546</v>
      </c>
      <c r="H286" s="22">
        <v>0</v>
      </c>
      <c r="I286" s="22">
        <f t="shared" si="13"/>
        <v>12.13546</v>
      </c>
      <c r="J286" s="22">
        <f t="shared" si="14"/>
        <v>12.13546</v>
      </c>
      <c r="K286" s="22"/>
    </row>
    <row r="287" spans="1:11" x14ac:dyDescent="0.2">
      <c r="A287" s="15">
        <v>281</v>
      </c>
      <c r="B287" s="20">
        <v>144410</v>
      </c>
      <c r="C287" s="21" t="s">
        <v>39</v>
      </c>
      <c r="D287" s="22"/>
      <c r="E287" s="22">
        <f t="shared" si="12"/>
        <v>0</v>
      </c>
      <c r="F287" s="22"/>
      <c r="G287" s="22">
        <v>15.721489999999999</v>
      </c>
      <c r="H287" s="22">
        <v>0</v>
      </c>
      <c r="I287" s="22">
        <f t="shared" si="13"/>
        <v>15.721489999999999</v>
      </c>
      <c r="J287" s="22">
        <f t="shared" si="14"/>
        <v>15.721489999999999</v>
      </c>
      <c r="K287" s="22"/>
    </row>
    <row r="288" spans="1:11" x14ac:dyDescent="0.2">
      <c r="A288" s="15">
        <v>282</v>
      </c>
      <c r="B288" s="20">
        <v>144415</v>
      </c>
      <c r="C288" s="21" t="s">
        <v>40</v>
      </c>
      <c r="D288" s="22"/>
      <c r="E288" s="22">
        <f t="shared" si="12"/>
        <v>0</v>
      </c>
      <c r="F288" s="22"/>
      <c r="G288" s="22">
        <v>22.581379999999999</v>
      </c>
      <c r="H288" s="22">
        <v>0</v>
      </c>
      <c r="I288" s="22">
        <f t="shared" si="13"/>
        <v>22.581379999999999</v>
      </c>
      <c r="J288" s="22">
        <f t="shared" si="14"/>
        <v>22.581379999999999</v>
      </c>
      <c r="K288" s="22"/>
    </row>
    <row r="289" spans="1:11" x14ac:dyDescent="0.2">
      <c r="A289" s="15">
        <v>283</v>
      </c>
      <c r="B289" s="20">
        <v>144420</v>
      </c>
      <c r="C289" s="21" t="s">
        <v>41</v>
      </c>
      <c r="D289" s="22"/>
      <c r="E289" s="22">
        <f t="shared" si="12"/>
        <v>0</v>
      </c>
      <c r="F289" s="22"/>
      <c r="G289" s="22">
        <v>73.366510000000005</v>
      </c>
      <c r="H289" s="22">
        <v>0</v>
      </c>
      <c r="I289" s="22">
        <f t="shared" si="13"/>
        <v>73.366510000000005</v>
      </c>
      <c r="J289" s="22">
        <f t="shared" si="14"/>
        <v>73.366510000000005</v>
      </c>
      <c r="K289" s="22"/>
    </row>
    <row r="290" spans="1:11" x14ac:dyDescent="0.2">
      <c r="A290" s="15">
        <v>284</v>
      </c>
      <c r="B290" s="20">
        <v>144425</v>
      </c>
      <c r="C290" s="21" t="s">
        <v>42</v>
      </c>
      <c r="D290" s="22"/>
      <c r="E290" s="22">
        <f t="shared" si="12"/>
        <v>0</v>
      </c>
      <c r="F290" s="22"/>
      <c r="G290" s="22">
        <v>60.055799999999998</v>
      </c>
      <c r="H290" s="22">
        <v>0</v>
      </c>
      <c r="I290" s="22">
        <f t="shared" si="13"/>
        <v>60.055799999999998</v>
      </c>
      <c r="J290" s="22">
        <f t="shared" si="14"/>
        <v>60.055799999999998</v>
      </c>
      <c r="K290" s="22"/>
    </row>
    <row r="291" spans="1:11" x14ac:dyDescent="0.2">
      <c r="A291" s="15">
        <v>285</v>
      </c>
      <c r="B291" s="20">
        <v>1445</v>
      </c>
      <c r="C291" s="21" t="s">
        <v>97</v>
      </c>
      <c r="D291" s="22"/>
      <c r="E291" s="22">
        <f t="shared" si="12"/>
        <v>0</v>
      </c>
      <c r="F291" s="22"/>
      <c r="G291" s="22"/>
      <c r="H291" s="22"/>
      <c r="I291" s="22">
        <f t="shared" si="13"/>
        <v>0</v>
      </c>
      <c r="J291" s="22">
        <f t="shared" si="14"/>
        <v>0</v>
      </c>
      <c r="K291" s="22">
        <v>0</v>
      </c>
    </row>
    <row r="292" spans="1:11" x14ac:dyDescent="0.2">
      <c r="A292" s="15">
        <v>286</v>
      </c>
      <c r="B292" s="20">
        <v>144505</v>
      </c>
      <c r="C292" s="21" t="s">
        <v>38</v>
      </c>
      <c r="D292" s="22"/>
      <c r="E292" s="22">
        <f t="shared" si="12"/>
        <v>0</v>
      </c>
      <c r="F292" s="22"/>
      <c r="G292" s="22"/>
      <c r="H292" s="22"/>
      <c r="I292" s="22">
        <f t="shared" si="13"/>
        <v>0</v>
      </c>
      <c r="J292" s="22">
        <f t="shared" si="14"/>
        <v>0</v>
      </c>
      <c r="K292" s="22">
        <v>0</v>
      </c>
    </row>
    <row r="293" spans="1:11" x14ac:dyDescent="0.2">
      <c r="A293" s="15">
        <v>287</v>
      </c>
      <c r="B293" s="20">
        <v>144510</v>
      </c>
      <c r="C293" s="21" t="s">
        <v>39</v>
      </c>
      <c r="D293" s="22"/>
      <c r="E293" s="22">
        <f t="shared" si="12"/>
        <v>0</v>
      </c>
      <c r="F293" s="22"/>
      <c r="G293" s="22"/>
      <c r="H293" s="22"/>
      <c r="I293" s="22">
        <f t="shared" si="13"/>
        <v>0</v>
      </c>
      <c r="J293" s="22">
        <f t="shared" si="14"/>
        <v>0</v>
      </c>
      <c r="K293" s="22">
        <v>0</v>
      </c>
    </row>
    <row r="294" spans="1:11" x14ac:dyDescent="0.2">
      <c r="A294" s="15">
        <v>288</v>
      </c>
      <c r="B294" s="20">
        <v>144515</v>
      </c>
      <c r="C294" s="21" t="s">
        <v>40</v>
      </c>
      <c r="D294" s="22"/>
      <c r="E294" s="22">
        <f t="shared" si="12"/>
        <v>0</v>
      </c>
      <c r="F294" s="22"/>
      <c r="G294" s="22"/>
      <c r="H294" s="22"/>
      <c r="I294" s="22">
        <f t="shared" si="13"/>
        <v>0</v>
      </c>
      <c r="J294" s="22">
        <f t="shared" si="14"/>
        <v>0</v>
      </c>
      <c r="K294" s="22">
        <v>0</v>
      </c>
    </row>
    <row r="295" spans="1:11" x14ac:dyDescent="0.2">
      <c r="A295" s="15">
        <v>289</v>
      </c>
      <c r="B295" s="20">
        <v>144520</v>
      </c>
      <c r="C295" s="21" t="s">
        <v>41</v>
      </c>
      <c r="D295" s="22"/>
      <c r="E295" s="22">
        <f t="shared" si="12"/>
        <v>0</v>
      </c>
      <c r="F295" s="22"/>
      <c r="G295" s="22"/>
      <c r="H295" s="22"/>
      <c r="I295" s="22">
        <f t="shared" si="13"/>
        <v>0</v>
      </c>
      <c r="J295" s="22">
        <f t="shared" si="14"/>
        <v>0</v>
      </c>
      <c r="K295" s="22">
        <v>0</v>
      </c>
    </row>
    <row r="296" spans="1:11" x14ac:dyDescent="0.2">
      <c r="A296" s="15">
        <v>290</v>
      </c>
      <c r="B296" s="20">
        <v>144525</v>
      </c>
      <c r="C296" s="21" t="s">
        <v>42</v>
      </c>
      <c r="D296" s="22"/>
      <c r="E296" s="22">
        <f t="shared" si="12"/>
        <v>0</v>
      </c>
      <c r="F296" s="22"/>
      <c r="G296" s="22"/>
      <c r="H296" s="22"/>
      <c r="I296" s="22">
        <f t="shared" si="13"/>
        <v>0</v>
      </c>
      <c r="J296" s="22">
        <f t="shared" si="14"/>
        <v>0</v>
      </c>
      <c r="K296" s="22">
        <v>0</v>
      </c>
    </row>
    <row r="297" spans="1:11" x14ac:dyDescent="0.2">
      <c r="A297" s="15">
        <v>291</v>
      </c>
      <c r="B297" s="20">
        <v>1446</v>
      </c>
      <c r="C297" s="21" t="s">
        <v>98</v>
      </c>
      <c r="D297" s="22"/>
      <c r="E297" s="22">
        <f t="shared" si="12"/>
        <v>0</v>
      </c>
      <c r="F297" s="22">
        <v>0</v>
      </c>
      <c r="G297" s="22"/>
      <c r="H297" s="22"/>
      <c r="I297" s="22">
        <f t="shared" si="13"/>
        <v>0</v>
      </c>
      <c r="J297" s="22">
        <f t="shared" si="14"/>
        <v>0</v>
      </c>
      <c r="K297" s="22"/>
    </row>
    <row r="298" spans="1:11" x14ac:dyDescent="0.2">
      <c r="A298" s="15">
        <v>292</v>
      </c>
      <c r="B298" s="20">
        <v>144605</v>
      </c>
      <c r="C298" s="21" t="s">
        <v>38</v>
      </c>
      <c r="D298" s="22"/>
      <c r="E298" s="22">
        <f t="shared" si="12"/>
        <v>0</v>
      </c>
      <c r="F298" s="22">
        <v>0</v>
      </c>
      <c r="G298" s="22"/>
      <c r="H298" s="22"/>
      <c r="I298" s="22">
        <f t="shared" si="13"/>
        <v>0</v>
      </c>
      <c r="J298" s="22">
        <f t="shared" si="14"/>
        <v>0</v>
      </c>
      <c r="K298" s="22"/>
    </row>
    <row r="299" spans="1:11" x14ac:dyDescent="0.2">
      <c r="A299" s="15">
        <v>293</v>
      </c>
      <c r="B299" s="20">
        <v>144610</v>
      </c>
      <c r="C299" s="21" t="s">
        <v>39</v>
      </c>
      <c r="D299" s="22"/>
      <c r="E299" s="22">
        <f t="shared" si="12"/>
        <v>0</v>
      </c>
      <c r="F299" s="22">
        <v>0</v>
      </c>
      <c r="G299" s="22"/>
      <c r="H299" s="22"/>
      <c r="I299" s="22">
        <f t="shared" si="13"/>
        <v>0</v>
      </c>
      <c r="J299" s="22">
        <f t="shared" si="14"/>
        <v>0</v>
      </c>
      <c r="K299" s="22"/>
    </row>
    <row r="300" spans="1:11" x14ac:dyDescent="0.2">
      <c r="A300" s="15">
        <v>294</v>
      </c>
      <c r="B300" s="20">
        <v>144615</v>
      </c>
      <c r="C300" s="21" t="s">
        <v>40</v>
      </c>
      <c r="D300" s="22"/>
      <c r="E300" s="22">
        <f t="shared" si="12"/>
        <v>0</v>
      </c>
      <c r="F300" s="22">
        <v>0</v>
      </c>
      <c r="G300" s="22"/>
      <c r="H300" s="22"/>
      <c r="I300" s="22">
        <f t="shared" si="13"/>
        <v>0</v>
      </c>
      <c r="J300" s="22">
        <f t="shared" si="14"/>
        <v>0</v>
      </c>
      <c r="K300" s="22"/>
    </row>
    <row r="301" spans="1:11" x14ac:dyDescent="0.2">
      <c r="A301" s="15">
        <v>295</v>
      </c>
      <c r="B301" s="20">
        <v>144620</v>
      </c>
      <c r="C301" s="21" t="s">
        <v>41</v>
      </c>
      <c r="D301" s="22"/>
      <c r="E301" s="22">
        <f t="shared" si="12"/>
        <v>0</v>
      </c>
      <c r="F301" s="22">
        <v>0</v>
      </c>
      <c r="G301" s="22"/>
      <c r="H301" s="22"/>
      <c r="I301" s="22">
        <f t="shared" si="13"/>
        <v>0</v>
      </c>
      <c r="J301" s="22">
        <f t="shared" si="14"/>
        <v>0</v>
      </c>
      <c r="K301" s="22"/>
    </row>
    <row r="302" spans="1:11" x14ac:dyDescent="0.2">
      <c r="A302" s="15">
        <v>296</v>
      </c>
      <c r="B302" s="20">
        <v>144625</v>
      </c>
      <c r="C302" s="21" t="s">
        <v>42</v>
      </c>
      <c r="D302" s="22"/>
      <c r="E302" s="22">
        <f t="shared" si="12"/>
        <v>0</v>
      </c>
      <c r="F302" s="22">
        <v>0</v>
      </c>
      <c r="G302" s="22"/>
      <c r="H302" s="22"/>
      <c r="I302" s="22">
        <f t="shared" si="13"/>
        <v>0</v>
      </c>
      <c r="J302" s="22">
        <f t="shared" si="14"/>
        <v>0</v>
      </c>
      <c r="K302" s="22"/>
    </row>
    <row r="303" spans="1:11" x14ac:dyDescent="0.2">
      <c r="A303" s="15">
        <v>297</v>
      </c>
      <c r="B303" s="20">
        <v>1449</v>
      </c>
      <c r="C303" s="21" t="s">
        <v>99</v>
      </c>
      <c r="D303" s="22">
        <v>9005.1311499999993</v>
      </c>
      <c r="E303" s="22">
        <f t="shared" si="12"/>
        <v>9005.1311499999993</v>
      </c>
      <c r="F303" s="22"/>
      <c r="G303" s="22">
        <v>40898.987090000002</v>
      </c>
      <c r="H303" s="22">
        <v>44839.158150000003</v>
      </c>
      <c r="I303" s="22">
        <f t="shared" si="13"/>
        <v>85738.145240000013</v>
      </c>
      <c r="J303" s="22">
        <f t="shared" si="14"/>
        <v>94743.276390000014</v>
      </c>
      <c r="K303" s="22"/>
    </row>
    <row r="304" spans="1:11" x14ac:dyDescent="0.2">
      <c r="A304" s="15">
        <v>298</v>
      </c>
      <c r="B304" s="20">
        <v>144905</v>
      </c>
      <c r="C304" s="21" t="s">
        <v>38</v>
      </c>
      <c r="D304" s="22">
        <v>0</v>
      </c>
      <c r="E304" s="22">
        <f t="shared" si="12"/>
        <v>0</v>
      </c>
      <c r="F304" s="22"/>
      <c r="G304" s="22">
        <v>0</v>
      </c>
      <c r="H304" s="22">
        <v>0</v>
      </c>
      <c r="I304" s="22">
        <f t="shared" si="13"/>
        <v>0</v>
      </c>
      <c r="J304" s="22">
        <f t="shared" si="14"/>
        <v>0</v>
      </c>
      <c r="K304" s="22"/>
    </row>
    <row r="305" spans="1:11" x14ac:dyDescent="0.2">
      <c r="A305" s="15">
        <v>299</v>
      </c>
      <c r="B305" s="20">
        <v>144910</v>
      </c>
      <c r="C305" s="21" t="s">
        <v>39</v>
      </c>
      <c r="D305" s="22">
        <v>2199.8741500000001</v>
      </c>
      <c r="E305" s="22">
        <f t="shared" si="12"/>
        <v>2199.8741500000001</v>
      </c>
      <c r="F305" s="22"/>
      <c r="G305" s="22">
        <v>6078.76566</v>
      </c>
      <c r="H305" s="22">
        <v>3691.9932699999999</v>
      </c>
      <c r="I305" s="22">
        <f t="shared" si="13"/>
        <v>9770.75893</v>
      </c>
      <c r="J305" s="22">
        <f t="shared" si="14"/>
        <v>11970.63308</v>
      </c>
      <c r="K305" s="22"/>
    </row>
    <row r="306" spans="1:11" x14ac:dyDescent="0.2">
      <c r="A306" s="15">
        <v>300</v>
      </c>
      <c r="B306" s="20">
        <v>144915</v>
      </c>
      <c r="C306" s="21" t="s">
        <v>40</v>
      </c>
      <c r="D306" s="22">
        <v>3600.3991299999998</v>
      </c>
      <c r="E306" s="22">
        <f t="shared" si="12"/>
        <v>3600.3991299999998</v>
      </c>
      <c r="F306" s="22"/>
      <c r="G306" s="22">
        <v>8229.8192899999995</v>
      </c>
      <c r="H306" s="22">
        <v>4149.1383400000004</v>
      </c>
      <c r="I306" s="22">
        <f t="shared" si="13"/>
        <v>12378.957630000001</v>
      </c>
      <c r="J306" s="22">
        <f t="shared" si="14"/>
        <v>15979.356760000001</v>
      </c>
      <c r="K306" s="22"/>
    </row>
    <row r="307" spans="1:11" x14ac:dyDescent="0.2">
      <c r="A307" s="15">
        <v>301</v>
      </c>
      <c r="B307" s="20">
        <v>144920</v>
      </c>
      <c r="C307" s="21" t="s">
        <v>41</v>
      </c>
      <c r="D307" s="22">
        <v>2818.7514200000001</v>
      </c>
      <c r="E307" s="22">
        <f t="shared" si="12"/>
        <v>2818.7514200000001</v>
      </c>
      <c r="F307" s="22"/>
      <c r="G307" s="22">
        <v>11611.00403</v>
      </c>
      <c r="H307" s="22">
        <v>7227.74611</v>
      </c>
      <c r="I307" s="22">
        <f t="shared" si="13"/>
        <v>18838.75014</v>
      </c>
      <c r="J307" s="22">
        <f t="shared" si="14"/>
        <v>21657.501560000001</v>
      </c>
      <c r="K307" s="22"/>
    </row>
    <row r="308" spans="1:11" x14ac:dyDescent="0.2">
      <c r="A308" s="15">
        <v>302</v>
      </c>
      <c r="B308" s="20">
        <v>144925</v>
      </c>
      <c r="C308" s="21" t="s">
        <v>42</v>
      </c>
      <c r="D308" s="22">
        <v>386.10645</v>
      </c>
      <c r="E308" s="22">
        <f t="shared" si="12"/>
        <v>386.10645</v>
      </c>
      <c r="F308" s="22"/>
      <c r="G308" s="22">
        <v>14979.39811</v>
      </c>
      <c r="H308" s="22">
        <v>29770.280429999999</v>
      </c>
      <c r="I308" s="22">
        <f t="shared" si="13"/>
        <v>44749.678540000001</v>
      </c>
      <c r="J308" s="22">
        <f t="shared" si="14"/>
        <v>45135.78499</v>
      </c>
      <c r="K308" s="22"/>
    </row>
    <row r="309" spans="1:11" x14ac:dyDescent="0.2">
      <c r="A309" s="15">
        <v>303</v>
      </c>
      <c r="B309" s="20">
        <v>1450</v>
      </c>
      <c r="C309" s="21" t="s">
        <v>100</v>
      </c>
      <c r="D309" s="22">
        <v>0</v>
      </c>
      <c r="E309" s="22">
        <f t="shared" si="12"/>
        <v>0</v>
      </c>
      <c r="F309" s="22">
        <v>0</v>
      </c>
      <c r="G309" s="22">
        <v>1422.34312</v>
      </c>
      <c r="H309" s="22">
        <v>0</v>
      </c>
      <c r="I309" s="22">
        <f t="shared" si="13"/>
        <v>1422.34312</v>
      </c>
      <c r="J309" s="22">
        <f t="shared" si="14"/>
        <v>1422.34312</v>
      </c>
      <c r="K309" s="22"/>
    </row>
    <row r="310" spans="1:11" x14ac:dyDescent="0.2">
      <c r="A310" s="15">
        <v>304</v>
      </c>
      <c r="B310" s="20">
        <v>145005</v>
      </c>
      <c r="C310" s="21" t="s">
        <v>38</v>
      </c>
      <c r="D310" s="22">
        <v>0</v>
      </c>
      <c r="E310" s="22">
        <f t="shared" si="12"/>
        <v>0</v>
      </c>
      <c r="F310" s="22">
        <v>0</v>
      </c>
      <c r="G310" s="22">
        <v>196.60712000000001</v>
      </c>
      <c r="H310" s="22">
        <v>0</v>
      </c>
      <c r="I310" s="22">
        <f t="shared" si="13"/>
        <v>196.60712000000001</v>
      </c>
      <c r="J310" s="22">
        <f t="shared" si="14"/>
        <v>196.60712000000001</v>
      </c>
      <c r="K310" s="22"/>
    </row>
    <row r="311" spans="1:11" x14ac:dyDescent="0.2">
      <c r="A311" s="15">
        <v>305</v>
      </c>
      <c r="B311" s="20">
        <v>145010</v>
      </c>
      <c r="C311" s="21" t="s">
        <v>39</v>
      </c>
      <c r="D311" s="22">
        <v>0</v>
      </c>
      <c r="E311" s="22">
        <f t="shared" si="12"/>
        <v>0</v>
      </c>
      <c r="F311" s="22">
        <v>0</v>
      </c>
      <c r="G311" s="22">
        <v>351.28262000000001</v>
      </c>
      <c r="H311" s="22">
        <v>0</v>
      </c>
      <c r="I311" s="22">
        <f t="shared" si="13"/>
        <v>351.28262000000001</v>
      </c>
      <c r="J311" s="22">
        <f t="shared" si="14"/>
        <v>351.28262000000001</v>
      </c>
      <c r="K311" s="22"/>
    </row>
    <row r="312" spans="1:11" x14ac:dyDescent="0.2">
      <c r="A312" s="15">
        <v>306</v>
      </c>
      <c r="B312" s="20">
        <v>145015</v>
      </c>
      <c r="C312" s="21" t="s">
        <v>40</v>
      </c>
      <c r="D312" s="22">
        <v>0</v>
      </c>
      <c r="E312" s="22">
        <f t="shared" si="12"/>
        <v>0</v>
      </c>
      <c r="F312" s="22">
        <v>0</v>
      </c>
      <c r="G312" s="22">
        <v>306.78422</v>
      </c>
      <c r="H312" s="22">
        <v>0</v>
      </c>
      <c r="I312" s="22">
        <f t="shared" si="13"/>
        <v>306.78422</v>
      </c>
      <c r="J312" s="22">
        <f t="shared" si="14"/>
        <v>306.78422</v>
      </c>
      <c r="K312" s="22"/>
    </row>
    <row r="313" spans="1:11" x14ac:dyDescent="0.2">
      <c r="A313" s="15">
        <v>307</v>
      </c>
      <c r="B313" s="20">
        <v>145020</v>
      </c>
      <c r="C313" s="21" t="s">
        <v>101</v>
      </c>
      <c r="D313" s="22">
        <v>0</v>
      </c>
      <c r="E313" s="22">
        <f t="shared" si="12"/>
        <v>0</v>
      </c>
      <c r="F313" s="22">
        <v>0</v>
      </c>
      <c r="G313" s="22">
        <v>170.95249000000001</v>
      </c>
      <c r="H313" s="22">
        <v>0</v>
      </c>
      <c r="I313" s="22">
        <f t="shared" si="13"/>
        <v>170.95249000000001</v>
      </c>
      <c r="J313" s="22">
        <f t="shared" si="14"/>
        <v>170.95249000000001</v>
      </c>
      <c r="K313" s="22"/>
    </row>
    <row r="314" spans="1:11" x14ac:dyDescent="0.2">
      <c r="A314" s="15">
        <v>308</v>
      </c>
      <c r="B314" s="20">
        <v>145025</v>
      </c>
      <c r="C314" s="21" t="s">
        <v>102</v>
      </c>
      <c r="D314" s="22">
        <v>0</v>
      </c>
      <c r="E314" s="22">
        <f t="shared" si="12"/>
        <v>0</v>
      </c>
      <c r="F314" s="22">
        <v>0</v>
      </c>
      <c r="G314" s="22">
        <v>396.71667000000002</v>
      </c>
      <c r="H314" s="22">
        <v>0</v>
      </c>
      <c r="I314" s="22">
        <f t="shared" si="13"/>
        <v>396.71667000000002</v>
      </c>
      <c r="J314" s="22">
        <f t="shared" si="14"/>
        <v>396.71667000000002</v>
      </c>
      <c r="K314" s="22"/>
    </row>
    <row r="315" spans="1:11" x14ac:dyDescent="0.2">
      <c r="A315" s="15">
        <v>309</v>
      </c>
      <c r="B315" s="20">
        <v>1451</v>
      </c>
      <c r="C315" s="21" t="s">
        <v>103</v>
      </c>
      <c r="D315" s="22">
        <v>55.869</v>
      </c>
      <c r="E315" s="22">
        <f t="shared" si="12"/>
        <v>55.869</v>
      </c>
      <c r="F315" s="22"/>
      <c r="G315" s="22"/>
      <c r="H315" s="22"/>
      <c r="I315" s="22">
        <f t="shared" si="13"/>
        <v>0</v>
      </c>
      <c r="J315" s="22">
        <f t="shared" si="14"/>
        <v>55.869</v>
      </c>
      <c r="K315" s="22"/>
    </row>
    <row r="316" spans="1:11" x14ac:dyDescent="0.2">
      <c r="A316" s="15">
        <v>310</v>
      </c>
      <c r="B316" s="20">
        <v>145105</v>
      </c>
      <c r="C316" s="21" t="s">
        <v>38</v>
      </c>
      <c r="D316" s="22">
        <v>0</v>
      </c>
      <c r="E316" s="22">
        <f t="shared" si="12"/>
        <v>0</v>
      </c>
      <c r="F316" s="22"/>
      <c r="G316" s="22"/>
      <c r="H316" s="22"/>
      <c r="I316" s="22">
        <f t="shared" si="13"/>
        <v>0</v>
      </c>
      <c r="J316" s="22">
        <f t="shared" si="14"/>
        <v>0</v>
      </c>
      <c r="K316" s="22"/>
    </row>
    <row r="317" spans="1:11" x14ac:dyDescent="0.2">
      <c r="A317" s="15">
        <v>311</v>
      </c>
      <c r="B317" s="20">
        <v>145110</v>
      </c>
      <c r="C317" s="21" t="s">
        <v>39</v>
      </c>
      <c r="D317" s="22">
        <v>11.656359999999999</v>
      </c>
      <c r="E317" s="22">
        <f t="shared" si="12"/>
        <v>11.656359999999999</v>
      </c>
      <c r="F317" s="22"/>
      <c r="G317" s="22"/>
      <c r="H317" s="22"/>
      <c r="I317" s="22">
        <f t="shared" si="13"/>
        <v>0</v>
      </c>
      <c r="J317" s="22">
        <f t="shared" si="14"/>
        <v>11.656359999999999</v>
      </c>
      <c r="K317" s="22"/>
    </row>
    <row r="318" spans="1:11" x14ac:dyDescent="0.2">
      <c r="A318" s="15">
        <v>312</v>
      </c>
      <c r="B318" s="20">
        <v>145115</v>
      </c>
      <c r="C318" s="21" t="s">
        <v>104</v>
      </c>
      <c r="D318" s="22">
        <v>17.90014</v>
      </c>
      <c r="E318" s="22">
        <f t="shared" si="12"/>
        <v>17.90014</v>
      </c>
      <c r="F318" s="22"/>
      <c r="G318" s="22"/>
      <c r="H318" s="22"/>
      <c r="I318" s="22">
        <f t="shared" si="13"/>
        <v>0</v>
      </c>
      <c r="J318" s="22">
        <f t="shared" si="14"/>
        <v>17.90014</v>
      </c>
      <c r="K318" s="22"/>
    </row>
    <row r="319" spans="1:11" x14ac:dyDescent="0.2">
      <c r="A319" s="15">
        <v>313</v>
      </c>
      <c r="B319" s="20">
        <v>145120</v>
      </c>
      <c r="C319" s="21" t="s">
        <v>105</v>
      </c>
      <c r="D319" s="22">
        <v>6.4763000000000002</v>
      </c>
      <c r="E319" s="22">
        <f t="shared" si="12"/>
        <v>6.4763000000000002</v>
      </c>
      <c r="F319" s="22"/>
      <c r="G319" s="22"/>
      <c r="H319" s="22"/>
      <c r="I319" s="22">
        <f t="shared" si="13"/>
        <v>0</v>
      </c>
      <c r="J319" s="22">
        <f t="shared" si="14"/>
        <v>6.4763000000000002</v>
      </c>
      <c r="K319" s="22"/>
    </row>
    <row r="320" spans="1:11" x14ac:dyDescent="0.2">
      <c r="A320" s="15">
        <v>314</v>
      </c>
      <c r="B320" s="20">
        <v>145125</v>
      </c>
      <c r="C320" s="21" t="s">
        <v>106</v>
      </c>
      <c r="D320" s="22">
        <v>13.252649999999999</v>
      </c>
      <c r="E320" s="22">
        <f t="shared" si="12"/>
        <v>13.252649999999999</v>
      </c>
      <c r="F320" s="22"/>
      <c r="G320" s="22"/>
      <c r="H320" s="22"/>
      <c r="I320" s="22">
        <f t="shared" si="13"/>
        <v>0</v>
      </c>
      <c r="J320" s="22">
        <f t="shared" si="14"/>
        <v>13.252649999999999</v>
      </c>
      <c r="K320" s="22"/>
    </row>
    <row r="321" spans="1:11" x14ac:dyDescent="0.2">
      <c r="A321" s="15">
        <v>315</v>
      </c>
      <c r="B321" s="20">
        <v>145130</v>
      </c>
      <c r="C321" s="21" t="s">
        <v>107</v>
      </c>
      <c r="D321" s="22">
        <v>6.5835499999999998</v>
      </c>
      <c r="E321" s="22">
        <f t="shared" si="12"/>
        <v>6.5835499999999998</v>
      </c>
      <c r="F321" s="22"/>
      <c r="G321" s="22"/>
      <c r="H321" s="22"/>
      <c r="I321" s="22">
        <f t="shared" si="13"/>
        <v>0</v>
      </c>
      <c r="J321" s="22">
        <f t="shared" si="14"/>
        <v>6.5835499999999998</v>
      </c>
      <c r="K321" s="22"/>
    </row>
    <row r="322" spans="1:11" x14ac:dyDescent="0.2">
      <c r="A322" s="15">
        <v>316</v>
      </c>
      <c r="B322" s="20">
        <v>1452</v>
      </c>
      <c r="C322" s="21" t="s">
        <v>108</v>
      </c>
      <c r="D322" s="22"/>
      <c r="E322" s="22">
        <f t="shared" si="12"/>
        <v>0</v>
      </c>
      <c r="F322" s="22"/>
      <c r="G322" s="22">
        <v>2778.7677100000001</v>
      </c>
      <c r="H322" s="22">
        <v>685.60401000000002</v>
      </c>
      <c r="I322" s="22">
        <f t="shared" si="13"/>
        <v>3464.3717200000001</v>
      </c>
      <c r="J322" s="22">
        <f t="shared" si="14"/>
        <v>3464.3717200000001</v>
      </c>
      <c r="K322" s="22"/>
    </row>
    <row r="323" spans="1:11" x14ac:dyDescent="0.2">
      <c r="A323" s="15">
        <v>317</v>
      </c>
      <c r="B323" s="20">
        <v>145205</v>
      </c>
      <c r="C323" s="21" t="s">
        <v>38</v>
      </c>
      <c r="D323" s="22"/>
      <c r="E323" s="22">
        <f t="shared" si="12"/>
        <v>0</v>
      </c>
      <c r="F323" s="22"/>
      <c r="G323" s="22">
        <v>1086.6363899999999</v>
      </c>
      <c r="H323" s="22">
        <v>159.68591000000001</v>
      </c>
      <c r="I323" s="22">
        <f t="shared" si="13"/>
        <v>1246.3222999999998</v>
      </c>
      <c r="J323" s="22">
        <f t="shared" si="14"/>
        <v>1246.3222999999998</v>
      </c>
      <c r="K323" s="22"/>
    </row>
    <row r="324" spans="1:11" x14ac:dyDescent="0.2">
      <c r="A324" s="15">
        <v>318</v>
      </c>
      <c r="B324" s="20">
        <v>145210</v>
      </c>
      <c r="C324" s="21" t="s">
        <v>39</v>
      </c>
      <c r="D324" s="22"/>
      <c r="E324" s="22">
        <f t="shared" si="12"/>
        <v>0</v>
      </c>
      <c r="F324" s="22"/>
      <c r="G324" s="22">
        <v>1094.8483799999999</v>
      </c>
      <c r="H324" s="22">
        <v>379.42948999999999</v>
      </c>
      <c r="I324" s="22">
        <f t="shared" si="13"/>
        <v>1474.2778699999999</v>
      </c>
      <c r="J324" s="22">
        <f t="shared" si="14"/>
        <v>1474.2778699999999</v>
      </c>
      <c r="K324" s="22"/>
    </row>
    <row r="325" spans="1:11" x14ac:dyDescent="0.2">
      <c r="A325" s="15">
        <v>319</v>
      </c>
      <c r="B325" s="20">
        <v>145215</v>
      </c>
      <c r="C325" s="21" t="s">
        <v>40</v>
      </c>
      <c r="D325" s="22"/>
      <c r="E325" s="22">
        <f t="shared" si="12"/>
        <v>0</v>
      </c>
      <c r="F325" s="22"/>
      <c r="G325" s="22">
        <v>591.07593999999995</v>
      </c>
      <c r="H325" s="22">
        <v>130.33035000000001</v>
      </c>
      <c r="I325" s="22">
        <f t="shared" si="13"/>
        <v>721.4062899999999</v>
      </c>
      <c r="J325" s="22">
        <f t="shared" si="14"/>
        <v>721.4062899999999</v>
      </c>
      <c r="K325" s="22"/>
    </row>
    <row r="326" spans="1:11" x14ac:dyDescent="0.2">
      <c r="A326" s="15">
        <v>320</v>
      </c>
      <c r="B326" s="20">
        <v>145220</v>
      </c>
      <c r="C326" s="21" t="s">
        <v>41</v>
      </c>
      <c r="D326" s="22"/>
      <c r="E326" s="22">
        <f t="shared" si="12"/>
        <v>0</v>
      </c>
      <c r="F326" s="22"/>
      <c r="G326" s="22">
        <v>2.7930000000000001</v>
      </c>
      <c r="H326" s="22">
        <v>13.06826</v>
      </c>
      <c r="I326" s="22">
        <f t="shared" si="13"/>
        <v>15.861260000000001</v>
      </c>
      <c r="J326" s="22">
        <f t="shared" si="14"/>
        <v>15.861260000000001</v>
      </c>
      <c r="K326" s="22"/>
    </row>
    <row r="327" spans="1:11" x14ac:dyDescent="0.2">
      <c r="A327" s="15">
        <v>321</v>
      </c>
      <c r="B327" s="20">
        <v>145225</v>
      </c>
      <c r="C327" s="21" t="s">
        <v>42</v>
      </c>
      <c r="D327" s="22"/>
      <c r="E327" s="22">
        <f t="shared" si="12"/>
        <v>0</v>
      </c>
      <c r="F327" s="22"/>
      <c r="G327" s="22">
        <v>3.4140000000000001</v>
      </c>
      <c r="H327" s="22">
        <v>3.09</v>
      </c>
      <c r="I327" s="22">
        <f t="shared" si="13"/>
        <v>6.5039999999999996</v>
      </c>
      <c r="J327" s="22">
        <f t="shared" si="14"/>
        <v>6.5039999999999996</v>
      </c>
      <c r="K327" s="22"/>
    </row>
    <row r="328" spans="1:11" x14ac:dyDescent="0.2">
      <c r="A328" s="15">
        <v>322</v>
      </c>
      <c r="B328" s="20">
        <v>1453</v>
      </c>
      <c r="C328" s="21" t="s">
        <v>109</v>
      </c>
      <c r="D328" s="22"/>
      <c r="E328" s="22">
        <f t="shared" si="12"/>
        <v>0</v>
      </c>
      <c r="F328" s="22"/>
      <c r="G328" s="22"/>
      <c r="H328" s="22"/>
      <c r="I328" s="22">
        <f t="shared" si="13"/>
        <v>0</v>
      </c>
      <c r="J328" s="22">
        <f t="shared" si="14"/>
        <v>0</v>
      </c>
      <c r="K328" s="22">
        <v>12416.8416</v>
      </c>
    </row>
    <row r="329" spans="1:11" x14ac:dyDescent="0.2">
      <c r="A329" s="15">
        <v>323</v>
      </c>
      <c r="B329" s="20">
        <v>145305</v>
      </c>
      <c r="C329" s="21" t="s">
        <v>38</v>
      </c>
      <c r="D329" s="22"/>
      <c r="E329" s="22">
        <f t="shared" si="12"/>
        <v>0</v>
      </c>
      <c r="F329" s="22"/>
      <c r="G329" s="22"/>
      <c r="H329" s="22"/>
      <c r="I329" s="22">
        <f t="shared" si="13"/>
        <v>0</v>
      </c>
      <c r="J329" s="22">
        <f t="shared" si="14"/>
        <v>0</v>
      </c>
      <c r="K329" s="22">
        <v>139.6902</v>
      </c>
    </row>
    <row r="330" spans="1:11" x14ac:dyDescent="0.2">
      <c r="A330" s="15">
        <v>324</v>
      </c>
      <c r="B330" s="20">
        <v>145310</v>
      </c>
      <c r="C330" s="21" t="s">
        <v>39</v>
      </c>
      <c r="D330" s="22"/>
      <c r="E330" s="22">
        <f t="shared" ref="E330:E393" si="15">+D330</f>
        <v>0</v>
      </c>
      <c r="F330" s="22"/>
      <c r="G330" s="22"/>
      <c r="H330" s="22"/>
      <c r="I330" s="22">
        <f t="shared" ref="I330:I393" si="16">+SUM(F330:H330)</f>
        <v>0</v>
      </c>
      <c r="J330" s="22">
        <f t="shared" ref="J330:J393" si="17">+E330+I330</f>
        <v>0</v>
      </c>
      <c r="K330" s="22">
        <v>3389.0017600000001</v>
      </c>
    </row>
    <row r="331" spans="1:11" x14ac:dyDescent="0.2">
      <c r="A331" s="15">
        <v>325</v>
      </c>
      <c r="B331" s="20">
        <v>145315</v>
      </c>
      <c r="C331" s="21" t="s">
        <v>40</v>
      </c>
      <c r="D331" s="22"/>
      <c r="E331" s="22">
        <f t="shared" si="15"/>
        <v>0</v>
      </c>
      <c r="F331" s="22"/>
      <c r="G331" s="22"/>
      <c r="H331" s="22"/>
      <c r="I331" s="22">
        <f t="shared" si="16"/>
        <v>0</v>
      </c>
      <c r="J331" s="22">
        <f t="shared" si="17"/>
        <v>0</v>
      </c>
      <c r="K331" s="22">
        <v>900.99689000000001</v>
      </c>
    </row>
    <row r="332" spans="1:11" x14ac:dyDescent="0.2">
      <c r="A332" s="15">
        <v>326</v>
      </c>
      <c r="B332" s="20">
        <v>145320</v>
      </c>
      <c r="C332" s="21" t="s">
        <v>41</v>
      </c>
      <c r="D332" s="22"/>
      <c r="E332" s="22">
        <f t="shared" si="15"/>
        <v>0</v>
      </c>
      <c r="F332" s="22"/>
      <c r="G332" s="22"/>
      <c r="H332" s="22"/>
      <c r="I332" s="22">
        <f t="shared" si="16"/>
        <v>0</v>
      </c>
      <c r="J332" s="22">
        <f t="shared" si="17"/>
        <v>0</v>
      </c>
      <c r="K332" s="22">
        <v>7525.80332</v>
      </c>
    </row>
    <row r="333" spans="1:11" x14ac:dyDescent="0.2">
      <c r="A333" s="15">
        <v>327</v>
      </c>
      <c r="B333" s="20">
        <v>145325</v>
      </c>
      <c r="C333" s="21" t="s">
        <v>42</v>
      </c>
      <c r="D333" s="22"/>
      <c r="E333" s="22">
        <f t="shared" si="15"/>
        <v>0</v>
      </c>
      <c r="F333" s="22"/>
      <c r="G333" s="22"/>
      <c r="H333" s="22"/>
      <c r="I333" s="22">
        <f t="shared" si="16"/>
        <v>0</v>
      </c>
      <c r="J333" s="22">
        <f t="shared" si="17"/>
        <v>0</v>
      </c>
      <c r="K333" s="22">
        <v>461.34942999999998</v>
      </c>
    </row>
    <row r="334" spans="1:11" x14ac:dyDescent="0.2">
      <c r="A334" s="15">
        <v>328</v>
      </c>
      <c r="B334" s="20">
        <v>1454</v>
      </c>
      <c r="C334" s="21" t="s">
        <v>110</v>
      </c>
      <c r="D334" s="22"/>
      <c r="E334" s="22">
        <f t="shared" si="15"/>
        <v>0</v>
      </c>
      <c r="F334" s="22">
        <v>18.01662</v>
      </c>
      <c r="G334" s="22"/>
      <c r="H334" s="22"/>
      <c r="I334" s="22">
        <f t="shared" si="16"/>
        <v>18.01662</v>
      </c>
      <c r="J334" s="22">
        <f t="shared" si="17"/>
        <v>18.01662</v>
      </c>
      <c r="K334" s="22"/>
    </row>
    <row r="335" spans="1:11" x14ac:dyDescent="0.2">
      <c r="A335" s="15">
        <v>329</v>
      </c>
      <c r="B335" s="20">
        <v>145405</v>
      </c>
      <c r="C335" s="21" t="s">
        <v>38</v>
      </c>
      <c r="D335" s="22"/>
      <c r="E335" s="22">
        <f t="shared" si="15"/>
        <v>0</v>
      </c>
      <c r="F335" s="22">
        <v>0</v>
      </c>
      <c r="G335" s="22"/>
      <c r="H335" s="22"/>
      <c r="I335" s="22">
        <f t="shared" si="16"/>
        <v>0</v>
      </c>
      <c r="J335" s="22">
        <f t="shared" si="17"/>
        <v>0</v>
      </c>
      <c r="K335" s="22"/>
    </row>
    <row r="336" spans="1:11" x14ac:dyDescent="0.2">
      <c r="A336" s="15">
        <v>330</v>
      </c>
      <c r="B336" s="20">
        <v>145410</v>
      </c>
      <c r="C336" s="21" t="s">
        <v>39</v>
      </c>
      <c r="D336" s="22"/>
      <c r="E336" s="22">
        <f t="shared" si="15"/>
        <v>0</v>
      </c>
      <c r="F336" s="22">
        <v>18.01662</v>
      </c>
      <c r="G336" s="22"/>
      <c r="H336" s="22"/>
      <c r="I336" s="22">
        <f t="shared" si="16"/>
        <v>18.01662</v>
      </c>
      <c r="J336" s="22">
        <f t="shared" si="17"/>
        <v>18.01662</v>
      </c>
      <c r="K336" s="22"/>
    </row>
    <row r="337" spans="1:11" x14ac:dyDescent="0.2">
      <c r="A337" s="15">
        <v>331</v>
      </c>
      <c r="B337" s="20">
        <v>145415</v>
      </c>
      <c r="C337" s="21" t="s">
        <v>40</v>
      </c>
      <c r="D337" s="22"/>
      <c r="E337" s="22">
        <f t="shared" si="15"/>
        <v>0</v>
      </c>
      <c r="F337" s="22">
        <v>0</v>
      </c>
      <c r="G337" s="22"/>
      <c r="H337" s="22"/>
      <c r="I337" s="22">
        <f t="shared" si="16"/>
        <v>0</v>
      </c>
      <c r="J337" s="22">
        <f t="shared" si="17"/>
        <v>0</v>
      </c>
      <c r="K337" s="22"/>
    </row>
    <row r="338" spans="1:11" x14ac:dyDescent="0.2">
      <c r="A338" s="15">
        <v>332</v>
      </c>
      <c r="B338" s="20">
        <v>145420</v>
      </c>
      <c r="C338" s="21" t="s">
        <v>41</v>
      </c>
      <c r="D338" s="22"/>
      <c r="E338" s="22">
        <f t="shared" si="15"/>
        <v>0</v>
      </c>
      <c r="F338" s="22">
        <v>0</v>
      </c>
      <c r="G338" s="22"/>
      <c r="H338" s="22"/>
      <c r="I338" s="22">
        <f t="shared" si="16"/>
        <v>0</v>
      </c>
      <c r="J338" s="22">
        <f t="shared" si="17"/>
        <v>0</v>
      </c>
      <c r="K338" s="22"/>
    </row>
    <row r="339" spans="1:11" x14ac:dyDescent="0.2">
      <c r="A339" s="15">
        <v>333</v>
      </c>
      <c r="B339" s="20">
        <v>145425</v>
      </c>
      <c r="C339" s="21" t="s">
        <v>42</v>
      </c>
      <c r="D339" s="22"/>
      <c r="E339" s="22">
        <f t="shared" si="15"/>
        <v>0</v>
      </c>
      <c r="F339" s="22">
        <v>0</v>
      </c>
      <c r="G339" s="22"/>
      <c r="H339" s="22"/>
      <c r="I339" s="22">
        <f t="shared" si="16"/>
        <v>0</v>
      </c>
      <c r="J339" s="22">
        <f t="shared" si="17"/>
        <v>0</v>
      </c>
      <c r="K339" s="22"/>
    </row>
    <row r="340" spans="1:11" x14ac:dyDescent="0.2">
      <c r="A340" s="15">
        <v>334</v>
      </c>
      <c r="B340" s="20">
        <v>1457</v>
      </c>
      <c r="C340" s="21" t="s">
        <v>111</v>
      </c>
      <c r="D340" s="22">
        <v>0</v>
      </c>
      <c r="E340" s="22">
        <f t="shared" si="15"/>
        <v>0</v>
      </c>
      <c r="F340" s="22"/>
      <c r="G340" s="22">
        <v>0</v>
      </c>
      <c r="H340" s="22">
        <v>0</v>
      </c>
      <c r="I340" s="22">
        <f t="shared" si="16"/>
        <v>0</v>
      </c>
      <c r="J340" s="22">
        <f t="shared" si="17"/>
        <v>0</v>
      </c>
      <c r="K340" s="22"/>
    </row>
    <row r="341" spans="1:11" x14ac:dyDescent="0.2">
      <c r="A341" s="15">
        <v>335</v>
      </c>
      <c r="B341" s="20">
        <v>145705</v>
      </c>
      <c r="C341" s="21" t="s">
        <v>38</v>
      </c>
      <c r="D341" s="22">
        <v>0</v>
      </c>
      <c r="E341" s="22">
        <f t="shared" si="15"/>
        <v>0</v>
      </c>
      <c r="F341" s="22"/>
      <c r="G341" s="22">
        <v>0</v>
      </c>
      <c r="H341" s="22">
        <v>0</v>
      </c>
      <c r="I341" s="22">
        <f t="shared" si="16"/>
        <v>0</v>
      </c>
      <c r="J341" s="22">
        <f t="shared" si="17"/>
        <v>0</v>
      </c>
      <c r="K341" s="22"/>
    </row>
    <row r="342" spans="1:11" x14ac:dyDescent="0.2">
      <c r="A342" s="15">
        <v>336</v>
      </c>
      <c r="B342" s="20">
        <v>145710</v>
      </c>
      <c r="C342" s="21" t="s">
        <v>39</v>
      </c>
      <c r="D342" s="22">
        <v>0</v>
      </c>
      <c r="E342" s="22">
        <f t="shared" si="15"/>
        <v>0</v>
      </c>
      <c r="F342" s="22"/>
      <c r="G342" s="22">
        <v>0</v>
      </c>
      <c r="H342" s="22">
        <v>0</v>
      </c>
      <c r="I342" s="22">
        <f t="shared" si="16"/>
        <v>0</v>
      </c>
      <c r="J342" s="22">
        <f t="shared" si="17"/>
        <v>0</v>
      </c>
      <c r="K342" s="22"/>
    </row>
    <row r="343" spans="1:11" x14ac:dyDescent="0.2">
      <c r="A343" s="15">
        <v>337</v>
      </c>
      <c r="B343" s="20">
        <v>145715</v>
      </c>
      <c r="C343" s="21" t="s">
        <v>40</v>
      </c>
      <c r="D343" s="22">
        <v>0</v>
      </c>
      <c r="E343" s="22">
        <f t="shared" si="15"/>
        <v>0</v>
      </c>
      <c r="F343" s="22"/>
      <c r="G343" s="22">
        <v>0</v>
      </c>
      <c r="H343" s="22">
        <v>0</v>
      </c>
      <c r="I343" s="22">
        <f t="shared" si="16"/>
        <v>0</v>
      </c>
      <c r="J343" s="22">
        <f t="shared" si="17"/>
        <v>0</v>
      </c>
      <c r="K343" s="22"/>
    </row>
    <row r="344" spans="1:11" x14ac:dyDescent="0.2">
      <c r="A344" s="15">
        <v>338</v>
      </c>
      <c r="B344" s="20">
        <v>145720</v>
      </c>
      <c r="C344" s="21" t="s">
        <v>41</v>
      </c>
      <c r="D344" s="22">
        <v>0</v>
      </c>
      <c r="E344" s="22">
        <f t="shared" si="15"/>
        <v>0</v>
      </c>
      <c r="F344" s="22"/>
      <c r="G344" s="22">
        <v>0</v>
      </c>
      <c r="H344" s="22">
        <v>0</v>
      </c>
      <c r="I344" s="22">
        <f t="shared" si="16"/>
        <v>0</v>
      </c>
      <c r="J344" s="22">
        <f t="shared" si="17"/>
        <v>0</v>
      </c>
      <c r="K344" s="22"/>
    </row>
    <row r="345" spans="1:11" x14ac:dyDescent="0.2">
      <c r="A345" s="15">
        <v>339</v>
      </c>
      <c r="B345" s="20">
        <v>145725</v>
      </c>
      <c r="C345" s="21" t="s">
        <v>42</v>
      </c>
      <c r="D345" s="22">
        <v>0</v>
      </c>
      <c r="E345" s="22">
        <f t="shared" si="15"/>
        <v>0</v>
      </c>
      <c r="F345" s="22"/>
      <c r="G345" s="22">
        <v>0</v>
      </c>
      <c r="H345" s="22">
        <v>0</v>
      </c>
      <c r="I345" s="22">
        <f t="shared" si="16"/>
        <v>0</v>
      </c>
      <c r="J345" s="22">
        <f t="shared" si="17"/>
        <v>0</v>
      </c>
      <c r="K345" s="22"/>
    </row>
    <row r="346" spans="1:11" x14ac:dyDescent="0.2">
      <c r="A346" s="15">
        <v>340</v>
      </c>
      <c r="B346" s="20">
        <v>1458</v>
      </c>
      <c r="C346" s="21" t="s">
        <v>112</v>
      </c>
      <c r="D346" s="22">
        <v>0</v>
      </c>
      <c r="E346" s="22">
        <f t="shared" si="15"/>
        <v>0</v>
      </c>
      <c r="F346" s="22">
        <v>0</v>
      </c>
      <c r="G346" s="22">
        <v>0</v>
      </c>
      <c r="H346" s="22">
        <v>0</v>
      </c>
      <c r="I346" s="22">
        <f t="shared" si="16"/>
        <v>0</v>
      </c>
      <c r="J346" s="22">
        <f t="shared" si="17"/>
        <v>0</v>
      </c>
      <c r="K346" s="22"/>
    </row>
    <row r="347" spans="1:11" x14ac:dyDescent="0.2">
      <c r="A347" s="15">
        <v>341</v>
      </c>
      <c r="B347" s="20">
        <v>145805</v>
      </c>
      <c r="C347" s="21" t="s">
        <v>38</v>
      </c>
      <c r="D347" s="22">
        <v>0</v>
      </c>
      <c r="E347" s="22">
        <f t="shared" si="15"/>
        <v>0</v>
      </c>
      <c r="F347" s="22">
        <v>0</v>
      </c>
      <c r="G347" s="22">
        <v>0</v>
      </c>
      <c r="H347" s="22">
        <v>0</v>
      </c>
      <c r="I347" s="22">
        <f t="shared" si="16"/>
        <v>0</v>
      </c>
      <c r="J347" s="22">
        <f t="shared" si="17"/>
        <v>0</v>
      </c>
      <c r="K347" s="22"/>
    </row>
    <row r="348" spans="1:11" x14ac:dyDescent="0.2">
      <c r="A348" s="15">
        <v>342</v>
      </c>
      <c r="B348" s="20">
        <v>145810</v>
      </c>
      <c r="C348" s="21" t="s">
        <v>39</v>
      </c>
      <c r="D348" s="22">
        <v>0</v>
      </c>
      <c r="E348" s="22">
        <f t="shared" si="15"/>
        <v>0</v>
      </c>
      <c r="F348" s="22">
        <v>0</v>
      </c>
      <c r="G348" s="22">
        <v>0</v>
      </c>
      <c r="H348" s="22">
        <v>0</v>
      </c>
      <c r="I348" s="22">
        <f t="shared" si="16"/>
        <v>0</v>
      </c>
      <c r="J348" s="22">
        <f t="shared" si="17"/>
        <v>0</v>
      </c>
      <c r="K348" s="22"/>
    </row>
    <row r="349" spans="1:11" x14ac:dyDescent="0.2">
      <c r="A349" s="15">
        <v>343</v>
      </c>
      <c r="B349" s="20">
        <v>145815</v>
      </c>
      <c r="C349" s="21" t="s">
        <v>40</v>
      </c>
      <c r="D349" s="22">
        <v>0</v>
      </c>
      <c r="E349" s="22">
        <f t="shared" si="15"/>
        <v>0</v>
      </c>
      <c r="F349" s="22">
        <v>0</v>
      </c>
      <c r="G349" s="22">
        <v>0</v>
      </c>
      <c r="H349" s="22">
        <v>0</v>
      </c>
      <c r="I349" s="22">
        <f t="shared" si="16"/>
        <v>0</v>
      </c>
      <c r="J349" s="22">
        <f t="shared" si="17"/>
        <v>0</v>
      </c>
      <c r="K349" s="22"/>
    </row>
    <row r="350" spans="1:11" x14ac:dyDescent="0.2">
      <c r="A350" s="15">
        <v>344</v>
      </c>
      <c r="B350" s="20">
        <v>145820</v>
      </c>
      <c r="C350" s="21" t="s">
        <v>101</v>
      </c>
      <c r="D350" s="22">
        <v>0</v>
      </c>
      <c r="E350" s="22">
        <f t="shared" si="15"/>
        <v>0</v>
      </c>
      <c r="F350" s="22">
        <v>0</v>
      </c>
      <c r="G350" s="22">
        <v>0</v>
      </c>
      <c r="H350" s="22">
        <v>0</v>
      </c>
      <c r="I350" s="22">
        <f t="shared" si="16"/>
        <v>0</v>
      </c>
      <c r="J350" s="22">
        <f t="shared" si="17"/>
        <v>0</v>
      </c>
      <c r="K350" s="22"/>
    </row>
    <row r="351" spans="1:11" x14ac:dyDescent="0.2">
      <c r="A351" s="15">
        <v>345</v>
      </c>
      <c r="B351" s="20">
        <v>145825</v>
      </c>
      <c r="C351" s="21" t="s">
        <v>102</v>
      </c>
      <c r="D351" s="22">
        <v>0</v>
      </c>
      <c r="E351" s="22">
        <f t="shared" si="15"/>
        <v>0</v>
      </c>
      <c r="F351" s="22">
        <v>0</v>
      </c>
      <c r="G351" s="22">
        <v>0</v>
      </c>
      <c r="H351" s="22">
        <v>0</v>
      </c>
      <c r="I351" s="22">
        <f t="shared" si="16"/>
        <v>0</v>
      </c>
      <c r="J351" s="22">
        <f t="shared" si="17"/>
        <v>0</v>
      </c>
      <c r="K351" s="22"/>
    </row>
    <row r="352" spans="1:11" x14ac:dyDescent="0.2">
      <c r="A352" s="15">
        <v>346</v>
      </c>
      <c r="B352" s="20">
        <v>1459</v>
      </c>
      <c r="C352" s="21" t="s">
        <v>113</v>
      </c>
      <c r="D352" s="22">
        <v>0</v>
      </c>
      <c r="E352" s="22">
        <f t="shared" si="15"/>
        <v>0</v>
      </c>
      <c r="F352" s="22"/>
      <c r="G352" s="22"/>
      <c r="H352" s="22"/>
      <c r="I352" s="22">
        <f t="shared" si="16"/>
        <v>0</v>
      </c>
      <c r="J352" s="22">
        <f t="shared" si="17"/>
        <v>0</v>
      </c>
      <c r="K352" s="22"/>
    </row>
    <row r="353" spans="1:11" x14ac:dyDescent="0.2">
      <c r="A353" s="15">
        <v>347</v>
      </c>
      <c r="B353" s="20">
        <v>145905</v>
      </c>
      <c r="C353" s="21" t="s">
        <v>38</v>
      </c>
      <c r="D353" s="22">
        <v>0</v>
      </c>
      <c r="E353" s="22">
        <f t="shared" si="15"/>
        <v>0</v>
      </c>
      <c r="F353" s="22"/>
      <c r="G353" s="22"/>
      <c r="H353" s="22"/>
      <c r="I353" s="22">
        <f t="shared" si="16"/>
        <v>0</v>
      </c>
      <c r="J353" s="22">
        <f t="shared" si="17"/>
        <v>0</v>
      </c>
      <c r="K353" s="22"/>
    </row>
    <row r="354" spans="1:11" x14ac:dyDescent="0.2">
      <c r="A354" s="15">
        <v>348</v>
      </c>
      <c r="B354" s="20">
        <v>145910</v>
      </c>
      <c r="C354" s="21" t="s">
        <v>39</v>
      </c>
      <c r="D354" s="22">
        <v>0</v>
      </c>
      <c r="E354" s="22">
        <f t="shared" si="15"/>
        <v>0</v>
      </c>
      <c r="F354" s="22"/>
      <c r="G354" s="22"/>
      <c r="H354" s="22"/>
      <c r="I354" s="22">
        <f t="shared" si="16"/>
        <v>0</v>
      </c>
      <c r="J354" s="22">
        <f t="shared" si="17"/>
        <v>0</v>
      </c>
      <c r="K354" s="22"/>
    </row>
    <row r="355" spans="1:11" x14ac:dyDescent="0.2">
      <c r="A355" s="15">
        <v>349</v>
      </c>
      <c r="B355" s="20">
        <v>145915</v>
      </c>
      <c r="C355" s="21" t="s">
        <v>104</v>
      </c>
      <c r="D355" s="22">
        <v>0</v>
      </c>
      <c r="E355" s="22">
        <f t="shared" si="15"/>
        <v>0</v>
      </c>
      <c r="F355" s="22"/>
      <c r="G355" s="22"/>
      <c r="H355" s="22"/>
      <c r="I355" s="22">
        <f t="shared" si="16"/>
        <v>0</v>
      </c>
      <c r="J355" s="22">
        <f t="shared" si="17"/>
        <v>0</v>
      </c>
      <c r="K355" s="22"/>
    </row>
    <row r="356" spans="1:11" x14ac:dyDescent="0.2">
      <c r="A356" s="15">
        <v>350</v>
      </c>
      <c r="B356" s="20">
        <v>145920</v>
      </c>
      <c r="C356" s="21" t="s">
        <v>105</v>
      </c>
      <c r="D356" s="22">
        <v>0</v>
      </c>
      <c r="E356" s="22">
        <f t="shared" si="15"/>
        <v>0</v>
      </c>
      <c r="F356" s="22"/>
      <c r="G356" s="22"/>
      <c r="H356" s="22"/>
      <c r="I356" s="22">
        <f t="shared" si="16"/>
        <v>0</v>
      </c>
      <c r="J356" s="22">
        <f t="shared" si="17"/>
        <v>0</v>
      </c>
      <c r="K356" s="22"/>
    </row>
    <row r="357" spans="1:11" x14ac:dyDescent="0.2">
      <c r="A357" s="15">
        <v>351</v>
      </c>
      <c r="B357" s="20">
        <v>145925</v>
      </c>
      <c r="C357" s="21" t="s">
        <v>106</v>
      </c>
      <c r="D357" s="22">
        <v>0</v>
      </c>
      <c r="E357" s="22">
        <f t="shared" si="15"/>
        <v>0</v>
      </c>
      <c r="F357" s="22"/>
      <c r="G357" s="22"/>
      <c r="H357" s="22"/>
      <c r="I357" s="22">
        <f t="shared" si="16"/>
        <v>0</v>
      </c>
      <c r="J357" s="22">
        <f t="shared" si="17"/>
        <v>0</v>
      </c>
      <c r="K357" s="22"/>
    </row>
    <row r="358" spans="1:11" x14ac:dyDescent="0.2">
      <c r="A358" s="15">
        <v>352</v>
      </c>
      <c r="B358" s="20">
        <v>145930</v>
      </c>
      <c r="C358" s="21" t="s">
        <v>107</v>
      </c>
      <c r="D358" s="22">
        <v>0</v>
      </c>
      <c r="E358" s="22">
        <f t="shared" si="15"/>
        <v>0</v>
      </c>
      <c r="F358" s="22"/>
      <c r="G358" s="22"/>
      <c r="H358" s="22"/>
      <c r="I358" s="22">
        <f t="shared" si="16"/>
        <v>0</v>
      </c>
      <c r="J358" s="22">
        <f t="shared" si="17"/>
        <v>0</v>
      </c>
      <c r="K358" s="22"/>
    </row>
    <row r="359" spans="1:11" x14ac:dyDescent="0.2">
      <c r="A359" s="15">
        <v>353</v>
      </c>
      <c r="B359" s="20">
        <v>1460</v>
      </c>
      <c r="C359" s="21" t="s">
        <v>114</v>
      </c>
      <c r="D359" s="22"/>
      <c r="E359" s="22">
        <f t="shared" si="15"/>
        <v>0</v>
      </c>
      <c r="F359" s="22"/>
      <c r="G359" s="22">
        <v>0</v>
      </c>
      <c r="H359" s="22">
        <v>0</v>
      </c>
      <c r="I359" s="22">
        <f t="shared" si="16"/>
        <v>0</v>
      </c>
      <c r="J359" s="22">
        <f t="shared" si="17"/>
        <v>0</v>
      </c>
      <c r="K359" s="22"/>
    </row>
    <row r="360" spans="1:11" x14ac:dyDescent="0.2">
      <c r="A360" s="15">
        <v>354</v>
      </c>
      <c r="B360" s="20">
        <v>146005</v>
      </c>
      <c r="C360" s="21" t="s">
        <v>38</v>
      </c>
      <c r="D360" s="22"/>
      <c r="E360" s="22">
        <f t="shared" si="15"/>
        <v>0</v>
      </c>
      <c r="F360" s="22"/>
      <c r="G360" s="22">
        <v>0</v>
      </c>
      <c r="H360" s="22">
        <v>0</v>
      </c>
      <c r="I360" s="22">
        <f t="shared" si="16"/>
        <v>0</v>
      </c>
      <c r="J360" s="22">
        <f t="shared" si="17"/>
        <v>0</v>
      </c>
      <c r="K360" s="22"/>
    </row>
    <row r="361" spans="1:11" x14ac:dyDescent="0.2">
      <c r="A361" s="15">
        <v>355</v>
      </c>
      <c r="B361" s="20">
        <v>146010</v>
      </c>
      <c r="C361" s="21" t="s">
        <v>39</v>
      </c>
      <c r="D361" s="22"/>
      <c r="E361" s="22">
        <f t="shared" si="15"/>
        <v>0</v>
      </c>
      <c r="F361" s="22"/>
      <c r="G361" s="22">
        <v>0</v>
      </c>
      <c r="H361" s="22">
        <v>0</v>
      </c>
      <c r="I361" s="22">
        <f t="shared" si="16"/>
        <v>0</v>
      </c>
      <c r="J361" s="22">
        <f t="shared" si="17"/>
        <v>0</v>
      </c>
      <c r="K361" s="22"/>
    </row>
    <row r="362" spans="1:11" x14ac:dyDescent="0.2">
      <c r="A362" s="15">
        <v>356</v>
      </c>
      <c r="B362" s="20">
        <v>146015</v>
      </c>
      <c r="C362" s="21" t="s">
        <v>40</v>
      </c>
      <c r="D362" s="22"/>
      <c r="E362" s="22">
        <f t="shared" si="15"/>
        <v>0</v>
      </c>
      <c r="F362" s="22"/>
      <c r="G362" s="22">
        <v>0</v>
      </c>
      <c r="H362" s="22">
        <v>0</v>
      </c>
      <c r="I362" s="22">
        <f t="shared" si="16"/>
        <v>0</v>
      </c>
      <c r="J362" s="22">
        <f t="shared" si="17"/>
        <v>0</v>
      </c>
      <c r="K362" s="22"/>
    </row>
    <row r="363" spans="1:11" x14ac:dyDescent="0.2">
      <c r="A363" s="15">
        <v>357</v>
      </c>
      <c r="B363" s="20">
        <v>146020</v>
      </c>
      <c r="C363" s="21" t="s">
        <v>41</v>
      </c>
      <c r="D363" s="22"/>
      <c r="E363" s="22">
        <f t="shared" si="15"/>
        <v>0</v>
      </c>
      <c r="F363" s="22"/>
      <c r="G363" s="22">
        <v>0</v>
      </c>
      <c r="H363" s="22">
        <v>0</v>
      </c>
      <c r="I363" s="22">
        <f t="shared" si="16"/>
        <v>0</v>
      </c>
      <c r="J363" s="22">
        <f t="shared" si="17"/>
        <v>0</v>
      </c>
      <c r="K363" s="22"/>
    </row>
    <row r="364" spans="1:11" x14ac:dyDescent="0.2">
      <c r="A364" s="15">
        <v>358</v>
      </c>
      <c r="B364" s="20">
        <v>146025</v>
      </c>
      <c r="C364" s="21" t="s">
        <v>42</v>
      </c>
      <c r="D364" s="22"/>
      <c r="E364" s="22">
        <f t="shared" si="15"/>
        <v>0</v>
      </c>
      <c r="F364" s="22"/>
      <c r="G364" s="22">
        <v>0</v>
      </c>
      <c r="H364" s="22">
        <v>0</v>
      </c>
      <c r="I364" s="22">
        <f t="shared" si="16"/>
        <v>0</v>
      </c>
      <c r="J364" s="22">
        <f t="shared" si="17"/>
        <v>0</v>
      </c>
      <c r="K364" s="22"/>
    </row>
    <row r="365" spans="1:11" x14ac:dyDescent="0.2">
      <c r="A365" s="15">
        <v>359</v>
      </c>
      <c r="B365" s="20">
        <v>1461</v>
      </c>
      <c r="C365" s="21" t="s">
        <v>115</v>
      </c>
      <c r="D365" s="22"/>
      <c r="E365" s="22">
        <f t="shared" si="15"/>
        <v>0</v>
      </c>
      <c r="F365" s="22"/>
      <c r="G365" s="22"/>
      <c r="H365" s="22"/>
      <c r="I365" s="22">
        <f t="shared" si="16"/>
        <v>0</v>
      </c>
      <c r="J365" s="22">
        <f t="shared" si="17"/>
        <v>0</v>
      </c>
      <c r="K365" s="22">
        <v>0</v>
      </c>
    </row>
    <row r="366" spans="1:11" x14ac:dyDescent="0.2">
      <c r="A366" s="15">
        <v>360</v>
      </c>
      <c r="B366" s="20">
        <v>146105</v>
      </c>
      <c r="C366" s="21" t="s">
        <v>38</v>
      </c>
      <c r="D366" s="22"/>
      <c r="E366" s="22">
        <f t="shared" si="15"/>
        <v>0</v>
      </c>
      <c r="F366" s="22"/>
      <c r="G366" s="22"/>
      <c r="H366" s="22"/>
      <c r="I366" s="22">
        <f t="shared" si="16"/>
        <v>0</v>
      </c>
      <c r="J366" s="22">
        <f t="shared" si="17"/>
        <v>0</v>
      </c>
      <c r="K366" s="22">
        <v>0</v>
      </c>
    </row>
    <row r="367" spans="1:11" x14ac:dyDescent="0.2">
      <c r="A367" s="15">
        <v>361</v>
      </c>
      <c r="B367" s="20">
        <v>146110</v>
      </c>
      <c r="C367" s="21" t="s">
        <v>39</v>
      </c>
      <c r="D367" s="22"/>
      <c r="E367" s="22">
        <f t="shared" si="15"/>
        <v>0</v>
      </c>
      <c r="F367" s="22"/>
      <c r="G367" s="22"/>
      <c r="H367" s="22"/>
      <c r="I367" s="22">
        <f t="shared" si="16"/>
        <v>0</v>
      </c>
      <c r="J367" s="22">
        <f t="shared" si="17"/>
        <v>0</v>
      </c>
      <c r="K367" s="22">
        <v>0</v>
      </c>
    </row>
    <row r="368" spans="1:11" x14ac:dyDescent="0.2">
      <c r="A368" s="15">
        <v>362</v>
      </c>
      <c r="B368" s="20">
        <v>146115</v>
      </c>
      <c r="C368" s="21" t="s">
        <v>40</v>
      </c>
      <c r="D368" s="22"/>
      <c r="E368" s="22">
        <f t="shared" si="15"/>
        <v>0</v>
      </c>
      <c r="F368" s="22"/>
      <c r="G368" s="22"/>
      <c r="H368" s="22"/>
      <c r="I368" s="22">
        <f t="shared" si="16"/>
        <v>0</v>
      </c>
      <c r="J368" s="22">
        <f t="shared" si="17"/>
        <v>0</v>
      </c>
      <c r="K368" s="22">
        <v>0</v>
      </c>
    </row>
    <row r="369" spans="1:11" x14ac:dyDescent="0.2">
      <c r="A369" s="15">
        <v>363</v>
      </c>
      <c r="B369" s="20">
        <v>146120</v>
      </c>
      <c r="C369" s="21" t="s">
        <v>41</v>
      </c>
      <c r="D369" s="22"/>
      <c r="E369" s="22">
        <f t="shared" si="15"/>
        <v>0</v>
      </c>
      <c r="F369" s="22"/>
      <c r="G369" s="22"/>
      <c r="H369" s="22"/>
      <c r="I369" s="22">
        <f t="shared" si="16"/>
        <v>0</v>
      </c>
      <c r="J369" s="22">
        <f t="shared" si="17"/>
        <v>0</v>
      </c>
      <c r="K369" s="22">
        <v>0</v>
      </c>
    </row>
    <row r="370" spans="1:11" x14ac:dyDescent="0.2">
      <c r="A370" s="15">
        <v>364</v>
      </c>
      <c r="B370" s="20">
        <v>146125</v>
      </c>
      <c r="C370" s="21" t="s">
        <v>42</v>
      </c>
      <c r="D370" s="22"/>
      <c r="E370" s="22">
        <f t="shared" si="15"/>
        <v>0</v>
      </c>
      <c r="F370" s="22"/>
      <c r="G370" s="22"/>
      <c r="H370" s="22"/>
      <c r="I370" s="22">
        <f t="shared" si="16"/>
        <v>0</v>
      </c>
      <c r="J370" s="22">
        <f t="shared" si="17"/>
        <v>0</v>
      </c>
      <c r="K370" s="22">
        <v>0</v>
      </c>
    </row>
    <row r="371" spans="1:11" x14ac:dyDescent="0.2">
      <c r="A371" s="15">
        <v>365</v>
      </c>
      <c r="B371" s="20">
        <v>1462</v>
      </c>
      <c r="C371" s="21" t="s">
        <v>116</v>
      </c>
      <c r="D371" s="22"/>
      <c r="E371" s="22">
        <f t="shared" si="15"/>
        <v>0</v>
      </c>
      <c r="F371" s="22">
        <v>0</v>
      </c>
      <c r="G371" s="22"/>
      <c r="H371" s="22"/>
      <c r="I371" s="22">
        <f t="shared" si="16"/>
        <v>0</v>
      </c>
      <c r="J371" s="22">
        <f t="shared" si="17"/>
        <v>0</v>
      </c>
      <c r="K371" s="22"/>
    </row>
    <row r="372" spans="1:11" x14ac:dyDescent="0.2">
      <c r="A372" s="15">
        <v>366</v>
      </c>
      <c r="B372" s="20">
        <v>146205</v>
      </c>
      <c r="C372" s="21" t="s">
        <v>38</v>
      </c>
      <c r="D372" s="22"/>
      <c r="E372" s="22">
        <f t="shared" si="15"/>
        <v>0</v>
      </c>
      <c r="F372" s="22">
        <v>0</v>
      </c>
      <c r="G372" s="22"/>
      <c r="H372" s="22"/>
      <c r="I372" s="22">
        <f t="shared" si="16"/>
        <v>0</v>
      </c>
      <c r="J372" s="22">
        <f t="shared" si="17"/>
        <v>0</v>
      </c>
      <c r="K372" s="22"/>
    </row>
    <row r="373" spans="1:11" x14ac:dyDescent="0.2">
      <c r="A373" s="15">
        <v>367</v>
      </c>
      <c r="B373" s="20">
        <v>146210</v>
      </c>
      <c r="C373" s="21" t="s">
        <v>39</v>
      </c>
      <c r="D373" s="22"/>
      <c r="E373" s="22">
        <f t="shared" si="15"/>
        <v>0</v>
      </c>
      <c r="F373" s="22">
        <v>0</v>
      </c>
      <c r="G373" s="22"/>
      <c r="H373" s="22"/>
      <c r="I373" s="22">
        <f t="shared" si="16"/>
        <v>0</v>
      </c>
      <c r="J373" s="22">
        <f t="shared" si="17"/>
        <v>0</v>
      </c>
      <c r="K373" s="22"/>
    </row>
    <row r="374" spans="1:11" x14ac:dyDescent="0.2">
      <c r="A374" s="15">
        <v>368</v>
      </c>
      <c r="B374" s="20">
        <v>146215</v>
      </c>
      <c r="C374" s="21" t="s">
        <v>40</v>
      </c>
      <c r="D374" s="22"/>
      <c r="E374" s="22">
        <f t="shared" si="15"/>
        <v>0</v>
      </c>
      <c r="F374" s="22">
        <v>0</v>
      </c>
      <c r="G374" s="22"/>
      <c r="H374" s="22"/>
      <c r="I374" s="22">
        <f t="shared" si="16"/>
        <v>0</v>
      </c>
      <c r="J374" s="22">
        <f t="shared" si="17"/>
        <v>0</v>
      </c>
      <c r="K374" s="22"/>
    </row>
    <row r="375" spans="1:11" x14ac:dyDescent="0.2">
      <c r="A375" s="15">
        <v>369</v>
      </c>
      <c r="B375" s="20">
        <v>146220</v>
      </c>
      <c r="C375" s="21" t="s">
        <v>41</v>
      </c>
      <c r="D375" s="22"/>
      <c r="E375" s="22">
        <f t="shared" si="15"/>
        <v>0</v>
      </c>
      <c r="F375" s="22">
        <v>0</v>
      </c>
      <c r="G375" s="22"/>
      <c r="H375" s="22"/>
      <c r="I375" s="22">
        <f t="shared" si="16"/>
        <v>0</v>
      </c>
      <c r="J375" s="22">
        <f t="shared" si="17"/>
        <v>0</v>
      </c>
      <c r="K375" s="22"/>
    </row>
    <row r="376" spans="1:11" x14ac:dyDescent="0.2">
      <c r="A376" s="15">
        <v>370</v>
      </c>
      <c r="B376" s="20">
        <v>146225</v>
      </c>
      <c r="C376" s="21" t="s">
        <v>42</v>
      </c>
      <c r="D376" s="22"/>
      <c r="E376" s="22">
        <f t="shared" si="15"/>
        <v>0</v>
      </c>
      <c r="F376" s="22">
        <v>0</v>
      </c>
      <c r="G376" s="22"/>
      <c r="H376" s="22"/>
      <c r="I376" s="22">
        <f t="shared" si="16"/>
        <v>0</v>
      </c>
      <c r="J376" s="22">
        <f t="shared" si="17"/>
        <v>0</v>
      </c>
      <c r="K376" s="22"/>
    </row>
    <row r="377" spans="1:11" x14ac:dyDescent="0.2">
      <c r="A377" s="15">
        <v>371</v>
      </c>
      <c r="B377" s="20">
        <v>1465</v>
      </c>
      <c r="C377" s="21" t="s">
        <v>117</v>
      </c>
      <c r="D377" s="22">
        <v>0</v>
      </c>
      <c r="E377" s="22">
        <f t="shared" si="15"/>
        <v>0</v>
      </c>
      <c r="F377" s="22"/>
      <c r="G377" s="22">
        <v>11396.18087</v>
      </c>
      <c r="H377" s="22">
        <v>950.96981000000005</v>
      </c>
      <c r="I377" s="22">
        <f t="shared" si="16"/>
        <v>12347.150680000001</v>
      </c>
      <c r="J377" s="22">
        <f t="shared" si="17"/>
        <v>12347.150680000001</v>
      </c>
      <c r="K377" s="22"/>
    </row>
    <row r="378" spans="1:11" x14ac:dyDescent="0.2">
      <c r="A378" s="15">
        <v>372</v>
      </c>
      <c r="B378" s="20">
        <v>146505</v>
      </c>
      <c r="C378" s="21" t="s">
        <v>38</v>
      </c>
      <c r="D378" s="22">
        <v>0</v>
      </c>
      <c r="E378" s="22">
        <f t="shared" si="15"/>
        <v>0</v>
      </c>
      <c r="F378" s="22"/>
      <c r="G378" s="22">
        <v>0</v>
      </c>
      <c r="H378" s="22">
        <v>0</v>
      </c>
      <c r="I378" s="22">
        <f t="shared" si="16"/>
        <v>0</v>
      </c>
      <c r="J378" s="22">
        <f t="shared" si="17"/>
        <v>0</v>
      </c>
      <c r="K378" s="22"/>
    </row>
    <row r="379" spans="1:11" x14ac:dyDescent="0.2">
      <c r="A379" s="15">
        <v>373</v>
      </c>
      <c r="B379" s="20">
        <v>146510</v>
      </c>
      <c r="C379" s="21" t="s">
        <v>39</v>
      </c>
      <c r="D379" s="22">
        <v>0</v>
      </c>
      <c r="E379" s="22">
        <f t="shared" si="15"/>
        <v>0</v>
      </c>
      <c r="F379" s="22"/>
      <c r="G379" s="22">
        <v>1057.0484300000001</v>
      </c>
      <c r="H379" s="22">
        <v>15.564410000000001</v>
      </c>
      <c r="I379" s="22">
        <f t="shared" si="16"/>
        <v>1072.61284</v>
      </c>
      <c r="J379" s="22">
        <f t="shared" si="17"/>
        <v>1072.61284</v>
      </c>
      <c r="K379" s="22"/>
    </row>
    <row r="380" spans="1:11" x14ac:dyDescent="0.2">
      <c r="A380" s="15">
        <v>374</v>
      </c>
      <c r="B380" s="20">
        <v>146515</v>
      </c>
      <c r="C380" s="21" t="s">
        <v>40</v>
      </c>
      <c r="D380" s="22">
        <v>0</v>
      </c>
      <c r="E380" s="22">
        <f t="shared" si="15"/>
        <v>0</v>
      </c>
      <c r="F380" s="22"/>
      <c r="G380" s="22">
        <v>2161.4798700000001</v>
      </c>
      <c r="H380" s="22">
        <v>126.05023</v>
      </c>
      <c r="I380" s="22">
        <f t="shared" si="16"/>
        <v>2287.5300999999999</v>
      </c>
      <c r="J380" s="22">
        <f t="shared" si="17"/>
        <v>2287.5300999999999</v>
      </c>
      <c r="K380" s="22"/>
    </row>
    <row r="381" spans="1:11" x14ac:dyDescent="0.2">
      <c r="A381" s="15">
        <v>375</v>
      </c>
      <c r="B381" s="20">
        <v>146520</v>
      </c>
      <c r="C381" s="21" t="s">
        <v>41</v>
      </c>
      <c r="D381" s="22">
        <v>0</v>
      </c>
      <c r="E381" s="22">
        <f t="shared" si="15"/>
        <v>0</v>
      </c>
      <c r="F381" s="22"/>
      <c r="G381" s="22">
        <v>3999.8212899999999</v>
      </c>
      <c r="H381" s="22">
        <v>367.71420000000001</v>
      </c>
      <c r="I381" s="22">
        <f t="shared" si="16"/>
        <v>4367.5354900000002</v>
      </c>
      <c r="J381" s="22">
        <f t="shared" si="17"/>
        <v>4367.5354900000002</v>
      </c>
      <c r="K381" s="22"/>
    </row>
    <row r="382" spans="1:11" x14ac:dyDescent="0.2">
      <c r="A382" s="15">
        <v>376</v>
      </c>
      <c r="B382" s="20">
        <v>146525</v>
      </c>
      <c r="C382" s="21" t="s">
        <v>42</v>
      </c>
      <c r="D382" s="22">
        <v>0</v>
      </c>
      <c r="E382" s="22">
        <f t="shared" si="15"/>
        <v>0</v>
      </c>
      <c r="F382" s="22"/>
      <c r="G382" s="22">
        <v>4177.8312800000003</v>
      </c>
      <c r="H382" s="22">
        <v>441.64096999999998</v>
      </c>
      <c r="I382" s="22">
        <f t="shared" si="16"/>
        <v>4619.4722500000007</v>
      </c>
      <c r="J382" s="22">
        <f t="shared" si="17"/>
        <v>4619.4722500000007</v>
      </c>
      <c r="K382" s="22"/>
    </row>
    <row r="383" spans="1:11" x14ac:dyDescent="0.2">
      <c r="A383" s="15">
        <v>377</v>
      </c>
      <c r="B383" s="20">
        <v>1466</v>
      </c>
      <c r="C383" s="21" t="s">
        <v>118</v>
      </c>
      <c r="D383" s="22">
        <v>0</v>
      </c>
      <c r="E383" s="22">
        <f t="shared" si="15"/>
        <v>0</v>
      </c>
      <c r="F383" s="22">
        <v>0</v>
      </c>
      <c r="G383" s="22">
        <v>83.036699999999996</v>
      </c>
      <c r="H383" s="22">
        <v>0</v>
      </c>
      <c r="I383" s="22">
        <f t="shared" si="16"/>
        <v>83.036699999999996</v>
      </c>
      <c r="J383" s="22">
        <f t="shared" si="17"/>
        <v>83.036699999999996</v>
      </c>
      <c r="K383" s="22"/>
    </row>
    <row r="384" spans="1:11" x14ac:dyDescent="0.2">
      <c r="A384" s="15">
        <v>378</v>
      </c>
      <c r="B384" s="20">
        <v>146605</v>
      </c>
      <c r="C384" s="21" t="s">
        <v>38</v>
      </c>
      <c r="D384" s="22">
        <v>0</v>
      </c>
      <c r="E384" s="22">
        <f t="shared" si="15"/>
        <v>0</v>
      </c>
      <c r="F384" s="22">
        <v>0</v>
      </c>
      <c r="G384" s="22">
        <v>3.73176</v>
      </c>
      <c r="H384" s="22">
        <v>0</v>
      </c>
      <c r="I384" s="22">
        <f t="shared" si="16"/>
        <v>3.73176</v>
      </c>
      <c r="J384" s="22">
        <f t="shared" si="17"/>
        <v>3.73176</v>
      </c>
      <c r="K384" s="22"/>
    </row>
    <row r="385" spans="1:11" x14ac:dyDescent="0.2">
      <c r="A385" s="15">
        <v>379</v>
      </c>
      <c r="B385" s="20">
        <v>146610</v>
      </c>
      <c r="C385" s="21" t="s">
        <v>39</v>
      </c>
      <c r="D385" s="22">
        <v>0</v>
      </c>
      <c r="E385" s="22">
        <f t="shared" si="15"/>
        <v>0</v>
      </c>
      <c r="F385" s="22">
        <v>0</v>
      </c>
      <c r="G385" s="22">
        <v>13.103389999999999</v>
      </c>
      <c r="H385" s="22">
        <v>0</v>
      </c>
      <c r="I385" s="22">
        <f t="shared" si="16"/>
        <v>13.103389999999999</v>
      </c>
      <c r="J385" s="22">
        <f t="shared" si="17"/>
        <v>13.103389999999999</v>
      </c>
      <c r="K385" s="22"/>
    </row>
    <row r="386" spans="1:11" x14ac:dyDescent="0.2">
      <c r="A386" s="15">
        <v>380</v>
      </c>
      <c r="B386" s="20">
        <v>146615</v>
      </c>
      <c r="C386" s="21" t="s">
        <v>40</v>
      </c>
      <c r="D386" s="22">
        <v>0</v>
      </c>
      <c r="E386" s="22">
        <f t="shared" si="15"/>
        <v>0</v>
      </c>
      <c r="F386" s="22">
        <v>0</v>
      </c>
      <c r="G386" s="22">
        <v>14.38251</v>
      </c>
      <c r="H386" s="22">
        <v>0</v>
      </c>
      <c r="I386" s="22">
        <f t="shared" si="16"/>
        <v>14.38251</v>
      </c>
      <c r="J386" s="22">
        <f t="shared" si="17"/>
        <v>14.38251</v>
      </c>
      <c r="K386" s="22"/>
    </row>
    <row r="387" spans="1:11" x14ac:dyDescent="0.2">
      <c r="A387" s="15">
        <v>381</v>
      </c>
      <c r="B387" s="20">
        <v>146620</v>
      </c>
      <c r="C387" s="21" t="s">
        <v>101</v>
      </c>
      <c r="D387" s="22">
        <v>0</v>
      </c>
      <c r="E387" s="22">
        <f t="shared" si="15"/>
        <v>0</v>
      </c>
      <c r="F387" s="22">
        <v>0</v>
      </c>
      <c r="G387" s="22">
        <v>10.591620000000001</v>
      </c>
      <c r="H387" s="22">
        <v>0</v>
      </c>
      <c r="I387" s="22">
        <f t="shared" si="16"/>
        <v>10.591620000000001</v>
      </c>
      <c r="J387" s="22">
        <f t="shared" si="17"/>
        <v>10.591620000000001</v>
      </c>
      <c r="K387" s="22"/>
    </row>
    <row r="388" spans="1:11" x14ac:dyDescent="0.2">
      <c r="A388" s="15">
        <v>382</v>
      </c>
      <c r="B388" s="20">
        <v>146625</v>
      </c>
      <c r="C388" s="21" t="s">
        <v>102</v>
      </c>
      <c r="D388" s="22">
        <v>0</v>
      </c>
      <c r="E388" s="22">
        <f t="shared" si="15"/>
        <v>0</v>
      </c>
      <c r="F388" s="22">
        <v>0</v>
      </c>
      <c r="G388" s="22">
        <v>41.227420000000002</v>
      </c>
      <c r="H388" s="22">
        <v>0</v>
      </c>
      <c r="I388" s="22">
        <f t="shared" si="16"/>
        <v>41.227420000000002</v>
      </c>
      <c r="J388" s="22">
        <f t="shared" si="17"/>
        <v>41.227420000000002</v>
      </c>
      <c r="K388" s="22"/>
    </row>
    <row r="389" spans="1:11" x14ac:dyDescent="0.2">
      <c r="A389" s="15">
        <v>383</v>
      </c>
      <c r="B389" s="20">
        <v>1467</v>
      </c>
      <c r="C389" s="21" t="s">
        <v>119</v>
      </c>
      <c r="D389" s="22">
        <v>4.8739699999999999</v>
      </c>
      <c r="E389" s="22">
        <f t="shared" si="15"/>
        <v>4.8739699999999999</v>
      </c>
      <c r="F389" s="22"/>
      <c r="G389" s="22"/>
      <c r="H389" s="22"/>
      <c r="I389" s="22">
        <f t="shared" si="16"/>
        <v>0</v>
      </c>
      <c r="J389" s="22">
        <f t="shared" si="17"/>
        <v>4.8739699999999999</v>
      </c>
      <c r="K389" s="22"/>
    </row>
    <row r="390" spans="1:11" x14ac:dyDescent="0.2">
      <c r="A390" s="15">
        <v>384</v>
      </c>
      <c r="B390" s="20">
        <v>146705</v>
      </c>
      <c r="C390" s="21" t="s">
        <v>38</v>
      </c>
      <c r="D390" s="22">
        <v>0</v>
      </c>
      <c r="E390" s="22">
        <f t="shared" si="15"/>
        <v>0</v>
      </c>
      <c r="F390" s="22"/>
      <c r="G390" s="22"/>
      <c r="H390" s="22"/>
      <c r="I390" s="22">
        <f t="shared" si="16"/>
        <v>0</v>
      </c>
      <c r="J390" s="22">
        <f t="shared" si="17"/>
        <v>0</v>
      </c>
      <c r="K390" s="22"/>
    </row>
    <row r="391" spans="1:11" x14ac:dyDescent="0.2">
      <c r="A391" s="15">
        <v>385</v>
      </c>
      <c r="B391" s="20">
        <v>146710</v>
      </c>
      <c r="C391" s="21" t="s">
        <v>39</v>
      </c>
      <c r="D391" s="22">
        <v>1.6342000000000001</v>
      </c>
      <c r="E391" s="22">
        <f t="shared" si="15"/>
        <v>1.6342000000000001</v>
      </c>
      <c r="F391" s="22"/>
      <c r="G391" s="22"/>
      <c r="H391" s="22"/>
      <c r="I391" s="22">
        <f t="shared" si="16"/>
        <v>0</v>
      </c>
      <c r="J391" s="22">
        <f t="shared" si="17"/>
        <v>1.6342000000000001</v>
      </c>
      <c r="K391" s="22"/>
    </row>
    <row r="392" spans="1:11" x14ac:dyDescent="0.2">
      <c r="A392" s="15">
        <v>386</v>
      </c>
      <c r="B392" s="20">
        <v>146715</v>
      </c>
      <c r="C392" s="21" t="s">
        <v>104</v>
      </c>
      <c r="D392" s="22">
        <v>2.7616499999999999</v>
      </c>
      <c r="E392" s="22">
        <f t="shared" si="15"/>
        <v>2.7616499999999999</v>
      </c>
      <c r="F392" s="22"/>
      <c r="G392" s="22"/>
      <c r="H392" s="22"/>
      <c r="I392" s="22">
        <f t="shared" si="16"/>
        <v>0</v>
      </c>
      <c r="J392" s="22">
        <f t="shared" si="17"/>
        <v>2.7616499999999999</v>
      </c>
      <c r="K392" s="22"/>
    </row>
    <row r="393" spans="1:11" x14ac:dyDescent="0.2">
      <c r="A393" s="15">
        <v>387</v>
      </c>
      <c r="B393" s="20">
        <v>146720</v>
      </c>
      <c r="C393" s="21" t="s">
        <v>105</v>
      </c>
      <c r="D393" s="22">
        <v>0.18684999999999999</v>
      </c>
      <c r="E393" s="22">
        <f t="shared" si="15"/>
        <v>0.18684999999999999</v>
      </c>
      <c r="F393" s="22"/>
      <c r="G393" s="22"/>
      <c r="H393" s="22"/>
      <c r="I393" s="22">
        <f t="shared" si="16"/>
        <v>0</v>
      </c>
      <c r="J393" s="22">
        <f t="shared" si="17"/>
        <v>0.18684999999999999</v>
      </c>
      <c r="K393" s="22"/>
    </row>
    <row r="394" spans="1:11" x14ac:dyDescent="0.2">
      <c r="A394" s="15">
        <v>388</v>
      </c>
      <c r="B394" s="20">
        <v>146725</v>
      </c>
      <c r="C394" s="21" t="s">
        <v>106</v>
      </c>
      <c r="D394" s="22">
        <v>4.6269999999999999E-2</v>
      </c>
      <c r="E394" s="22">
        <f t="shared" ref="E394:E457" si="18">+D394</f>
        <v>4.6269999999999999E-2</v>
      </c>
      <c r="F394" s="22"/>
      <c r="G394" s="22"/>
      <c r="H394" s="22"/>
      <c r="I394" s="22">
        <f t="shared" ref="I394:I457" si="19">+SUM(F394:H394)</f>
        <v>0</v>
      </c>
      <c r="J394" s="22">
        <f t="shared" ref="J394:J457" si="20">+E394+I394</f>
        <v>4.6269999999999999E-2</v>
      </c>
      <c r="K394" s="22"/>
    </row>
    <row r="395" spans="1:11" x14ac:dyDescent="0.2">
      <c r="A395" s="15">
        <v>389</v>
      </c>
      <c r="B395" s="20">
        <v>146730</v>
      </c>
      <c r="C395" s="21" t="s">
        <v>107</v>
      </c>
      <c r="D395" s="22">
        <v>0.245</v>
      </c>
      <c r="E395" s="22">
        <f t="shared" si="18"/>
        <v>0.245</v>
      </c>
      <c r="F395" s="22"/>
      <c r="G395" s="22"/>
      <c r="H395" s="22"/>
      <c r="I395" s="22">
        <f t="shared" si="19"/>
        <v>0</v>
      </c>
      <c r="J395" s="22">
        <f t="shared" si="20"/>
        <v>0.245</v>
      </c>
      <c r="K395" s="22"/>
    </row>
    <row r="396" spans="1:11" x14ac:dyDescent="0.2">
      <c r="A396" s="15">
        <v>390</v>
      </c>
      <c r="B396" s="20">
        <v>1468</v>
      </c>
      <c r="C396" s="21" t="s">
        <v>120</v>
      </c>
      <c r="D396" s="22"/>
      <c r="E396" s="22">
        <f t="shared" si="18"/>
        <v>0</v>
      </c>
      <c r="F396" s="22"/>
      <c r="G396" s="22">
        <v>140.64618999999999</v>
      </c>
      <c r="H396" s="22">
        <v>0</v>
      </c>
      <c r="I396" s="22">
        <f t="shared" si="19"/>
        <v>140.64618999999999</v>
      </c>
      <c r="J396" s="22">
        <f t="shared" si="20"/>
        <v>140.64618999999999</v>
      </c>
      <c r="K396" s="22"/>
    </row>
    <row r="397" spans="1:11" x14ac:dyDescent="0.2">
      <c r="A397" s="15">
        <v>391</v>
      </c>
      <c r="B397" s="20">
        <v>146805</v>
      </c>
      <c r="C397" s="21" t="s">
        <v>38</v>
      </c>
      <c r="D397" s="22"/>
      <c r="E397" s="22">
        <f t="shared" si="18"/>
        <v>0</v>
      </c>
      <c r="F397" s="22"/>
      <c r="G397" s="22">
        <v>32.571249999999999</v>
      </c>
      <c r="H397" s="22">
        <v>0</v>
      </c>
      <c r="I397" s="22">
        <f t="shared" si="19"/>
        <v>32.571249999999999</v>
      </c>
      <c r="J397" s="22">
        <f t="shared" si="20"/>
        <v>32.571249999999999</v>
      </c>
      <c r="K397" s="22"/>
    </row>
    <row r="398" spans="1:11" x14ac:dyDescent="0.2">
      <c r="A398" s="15">
        <v>392</v>
      </c>
      <c r="B398" s="20">
        <v>146810</v>
      </c>
      <c r="C398" s="21" t="s">
        <v>39</v>
      </c>
      <c r="D398" s="22"/>
      <c r="E398" s="22">
        <f t="shared" si="18"/>
        <v>0</v>
      </c>
      <c r="F398" s="22"/>
      <c r="G398" s="22">
        <v>46.054119999999998</v>
      </c>
      <c r="H398" s="22">
        <v>0</v>
      </c>
      <c r="I398" s="22">
        <f t="shared" si="19"/>
        <v>46.054119999999998</v>
      </c>
      <c r="J398" s="22">
        <f t="shared" si="20"/>
        <v>46.054119999999998</v>
      </c>
      <c r="K398" s="22"/>
    </row>
    <row r="399" spans="1:11" x14ac:dyDescent="0.2">
      <c r="A399" s="15">
        <v>393</v>
      </c>
      <c r="B399" s="20">
        <v>146815</v>
      </c>
      <c r="C399" s="21" t="s">
        <v>40</v>
      </c>
      <c r="D399" s="22"/>
      <c r="E399" s="22">
        <f t="shared" si="18"/>
        <v>0</v>
      </c>
      <c r="F399" s="22"/>
      <c r="G399" s="22">
        <v>62.010820000000002</v>
      </c>
      <c r="H399" s="22">
        <v>0</v>
      </c>
      <c r="I399" s="22">
        <f t="shared" si="19"/>
        <v>62.010820000000002</v>
      </c>
      <c r="J399" s="22">
        <f t="shared" si="20"/>
        <v>62.010820000000002</v>
      </c>
      <c r="K399" s="22"/>
    </row>
    <row r="400" spans="1:11" x14ac:dyDescent="0.2">
      <c r="A400" s="15">
        <v>394</v>
      </c>
      <c r="B400" s="20">
        <v>146820</v>
      </c>
      <c r="C400" s="21" t="s">
        <v>41</v>
      </c>
      <c r="D400" s="22"/>
      <c r="E400" s="22">
        <f t="shared" si="18"/>
        <v>0</v>
      </c>
      <c r="F400" s="22"/>
      <c r="G400" s="22">
        <v>8.9999999999999993E-3</v>
      </c>
      <c r="H400" s="22">
        <v>0</v>
      </c>
      <c r="I400" s="22">
        <f t="shared" si="19"/>
        <v>8.9999999999999993E-3</v>
      </c>
      <c r="J400" s="22">
        <f t="shared" si="20"/>
        <v>8.9999999999999993E-3</v>
      </c>
      <c r="K400" s="22"/>
    </row>
    <row r="401" spans="1:11" x14ac:dyDescent="0.2">
      <c r="A401" s="15">
        <v>395</v>
      </c>
      <c r="B401" s="20">
        <v>146825</v>
      </c>
      <c r="C401" s="21" t="s">
        <v>42</v>
      </c>
      <c r="D401" s="22"/>
      <c r="E401" s="22">
        <f t="shared" si="18"/>
        <v>0</v>
      </c>
      <c r="F401" s="22"/>
      <c r="G401" s="22">
        <v>1E-3</v>
      </c>
      <c r="H401" s="22">
        <v>0</v>
      </c>
      <c r="I401" s="22">
        <f t="shared" si="19"/>
        <v>1E-3</v>
      </c>
      <c r="J401" s="22">
        <f t="shared" si="20"/>
        <v>1E-3</v>
      </c>
      <c r="K401" s="22"/>
    </row>
    <row r="402" spans="1:11" x14ac:dyDescent="0.2">
      <c r="A402" s="15">
        <v>396</v>
      </c>
      <c r="B402" s="20">
        <v>1469</v>
      </c>
      <c r="C402" s="21" t="s">
        <v>121</v>
      </c>
      <c r="D402" s="22"/>
      <c r="E402" s="22">
        <f t="shared" si="18"/>
        <v>0</v>
      </c>
      <c r="F402" s="22"/>
      <c r="G402" s="22"/>
      <c r="H402" s="22"/>
      <c r="I402" s="22">
        <f t="shared" si="19"/>
        <v>0</v>
      </c>
      <c r="J402" s="22">
        <f t="shared" si="20"/>
        <v>0</v>
      </c>
      <c r="K402" s="22">
        <v>0</v>
      </c>
    </row>
    <row r="403" spans="1:11" x14ac:dyDescent="0.2">
      <c r="A403" s="15">
        <v>397</v>
      </c>
      <c r="B403" s="20">
        <v>146905</v>
      </c>
      <c r="C403" s="21" t="s">
        <v>38</v>
      </c>
      <c r="D403" s="22"/>
      <c r="E403" s="22">
        <f t="shared" si="18"/>
        <v>0</v>
      </c>
      <c r="F403" s="22"/>
      <c r="G403" s="22"/>
      <c r="H403" s="22"/>
      <c r="I403" s="22">
        <f t="shared" si="19"/>
        <v>0</v>
      </c>
      <c r="J403" s="22">
        <f t="shared" si="20"/>
        <v>0</v>
      </c>
      <c r="K403" s="22">
        <v>0</v>
      </c>
    </row>
    <row r="404" spans="1:11" x14ac:dyDescent="0.2">
      <c r="A404" s="15">
        <v>398</v>
      </c>
      <c r="B404" s="20">
        <v>146910</v>
      </c>
      <c r="C404" s="21" t="s">
        <v>39</v>
      </c>
      <c r="D404" s="22"/>
      <c r="E404" s="22">
        <f t="shared" si="18"/>
        <v>0</v>
      </c>
      <c r="F404" s="22"/>
      <c r="G404" s="22"/>
      <c r="H404" s="22"/>
      <c r="I404" s="22">
        <f t="shared" si="19"/>
        <v>0</v>
      </c>
      <c r="J404" s="22">
        <f t="shared" si="20"/>
        <v>0</v>
      </c>
      <c r="K404" s="22">
        <v>0</v>
      </c>
    </row>
    <row r="405" spans="1:11" x14ac:dyDescent="0.2">
      <c r="A405" s="15">
        <v>399</v>
      </c>
      <c r="B405" s="20">
        <v>146915</v>
      </c>
      <c r="C405" s="21" t="s">
        <v>40</v>
      </c>
      <c r="D405" s="22"/>
      <c r="E405" s="22">
        <f t="shared" si="18"/>
        <v>0</v>
      </c>
      <c r="F405" s="22"/>
      <c r="G405" s="22"/>
      <c r="H405" s="22"/>
      <c r="I405" s="22">
        <f t="shared" si="19"/>
        <v>0</v>
      </c>
      <c r="J405" s="22">
        <f t="shared" si="20"/>
        <v>0</v>
      </c>
      <c r="K405" s="22">
        <v>0</v>
      </c>
    </row>
    <row r="406" spans="1:11" x14ac:dyDescent="0.2">
      <c r="A406" s="15">
        <v>400</v>
      </c>
      <c r="B406" s="20">
        <v>146920</v>
      </c>
      <c r="C406" s="21" t="s">
        <v>41</v>
      </c>
      <c r="D406" s="22"/>
      <c r="E406" s="22">
        <f t="shared" si="18"/>
        <v>0</v>
      </c>
      <c r="F406" s="22"/>
      <c r="G406" s="22"/>
      <c r="H406" s="22"/>
      <c r="I406" s="22">
        <f t="shared" si="19"/>
        <v>0</v>
      </c>
      <c r="J406" s="22">
        <f t="shared" si="20"/>
        <v>0</v>
      </c>
      <c r="K406" s="22">
        <v>0</v>
      </c>
    </row>
    <row r="407" spans="1:11" x14ac:dyDescent="0.2">
      <c r="A407" s="15">
        <v>401</v>
      </c>
      <c r="B407" s="20">
        <v>146925</v>
      </c>
      <c r="C407" s="21" t="s">
        <v>42</v>
      </c>
      <c r="D407" s="22"/>
      <c r="E407" s="22">
        <f t="shared" si="18"/>
        <v>0</v>
      </c>
      <c r="F407" s="22"/>
      <c r="G407" s="22"/>
      <c r="H407" s="22"/>
      <c r="I407" s="22">
        <f t="shared" si="19"/>
        <v>0</v>
      </c>
      <c r="J407" s="22">
        <f t="shared" si="20"/>
        <v>0</v>
      </c>
      <c r="K407" s="22">
        <v>0</v>
      </c>
    </row>
    <row r="408" spans="1:11" x14ac:dyDescent="0.2">
      <c r="A408" s="15">
        <v>402</v>
      </c>
      <c r="B408" s="20">
        <v>1470</v>
      </c>
      <c r="C408" s="21" t="s">
        <v>122</v>
      </c>
      <c r="D408" s="22"/>
      <c r="E408" s="22">
        <f t="shared" si="18"/>
        <v>0</v>
      </c>
      <c r="F408" s="22">
        <v>0</v>
      </c>
      <c r="G408" s="22"/>
      <c r="H408" s="22"/>
      <c r="I408" s="22">
        <f t="shared" si="19"/>
        <v>0</v>
      </c>
      <c r="J408" s="22">
        <f t="shared" si="20"/>
        <v>0</v>
      </c>
      <c r="K408" s="22"/>
    </row>
    <row r="409" spans="1:11" x14ac:dyDescent="0.2">
      <c r="A409" s="15">
        <v>403</v>
      </c>
      <c r="B409" s="20">
        <v>147005</v>
      </c>
      <c r="C409" s="21" t="s">
        <v>38</v>
      </c>
      <c r="D409" s="22"/>
      <c r="E409" s="22">
        <f t="shared" si="18"/>
        <v>0</v>
      </c>
      <c r="F409" s="22">
        <v>0</v>
      </c>
      <c r="G409" s="22"/>
      <c r="H409" s="22"/>
      <c r="I409" s="22">
        <f t="shared" si="19"/>
        <v>0</v>
      </c>
      <c r="J409" s="22">
        <f t="shared" si="20"/>
        <v>0</v>
      </c>
      <c r="K409" s="22"/>
    </row>
    <row r="410" spans="1:11" x14ac:dyDescent="0.2">
      <c r="A410" s="15">
        <v>404</v>
      </c>
      <c r="B410" s="20">
        <v>147010</v>
      </c>
      <c r="C410" s="21" t="s">
        <v>39</v>
      </c>
      <c r="D410" s="22"/>
      <c r="E410" s="22">
        <f t="shared" si="18"/>
        <v>0</v>
      </c>
      <c r="F410" s="22">
        <v>0</v>
      </c>
      <c r="G410" s="22"/>
      <c r="H410" s="22"/>
      <c r="I410" s="22">
        <f t="shared" si="19"/>
        <v>0</v>
      </c>
      <c r="J410" s="22">
        <f t="shared" si="20"/>
        <v>0</v>
      </c>
      <c r="K410" s="22"/>
    </row>
    <row r="411" spans="1:11" x14ac:dyDescent="0.2">
      <c r="A411" s="15">
        <v>405</v>
      </c>
      <c r="B411" s="20">
        <v>147015</v>
      </c>
      <c r="C411" s="21" t="s">
        <v>40</v>
      </c>
      <c r="D411" s="22"/>
      <c r="E411" s="22">
        <f t="shared" si="18"/>
        <v>0</v>
      </c>
      <c r="F411" s="22">
        <v>0</v>
      </c>
      <c r="G411" s="22"/>
      <c r="H411" s="22"/>
      <c r="I411" s="22">
        <f t="shared" si="19"/>
        <v>0</v>
      </c>
      <c r="J411" s="22">
        <f t="shared" si="20"/>
        <v>0</v>
      </c>
      <c r="K411" s="22"/>
    </row>
    <row r="412" spans="1:11" x14ac:dyDescent="0.2">
      <c r="A412" s="15">
        <v>406</v>
      </c>
      <c r="B412" s="20">
        <v>147020</v>
      </c>
      <c r="C412" s="21" t="s">
        <v>41</v>
      </c>
      <c r="D412" s="22"/>
      <c r="E412" s="22">
        <f t="shared" si="18"/>
        <v>0</v>
      </c>
      <c r="F412" s="22">
        <v>0</v>
      </c>
      <c r="G412" s="22"/>
      <c r="H412" s="22"/>
      <c r="I412" s="22">
        <f t="shared" si="19"/>
        <v>0</v>
      </c>
      <c r="J412" s="22">
        <f t="shared" si="20"/>
        <v>0</v>
      </c>
      <c r="K412" s="22"/>
    </row>
    <row r="413" spans="1:11" x14ac:dyDescent="0.2">
      <c r="A413" s="15">
        <v>407</v>
      </c>
      <c r="B413" s="20">
        <v>147025</v>
      </c>
      <c r="C413" s="21" t="s">
        <v>42</v>
      </c>
      <c r="D413" s="22"/>
      <c r="E413" s="22">
        <f t="shared" si="18"/>
        <v>0</v>
      </c>
      <c r="F413" s="22">
        <v>0</v>
      </c>
      <c r="G413" s="22"/>
      <c r="H413" s="22"/>
      <c r="I413" s="22">
        <f t="shared" si="19"/>
        <v>0</v>
      </c>
      <c r="J413" s="22">
        <f t="shared" si="20"/>
        <v>0</v>
      </c>
      <c r="K413" s="22"/>
    </row>
    <row r="414" spans="1:11" x14ac:dyDescent="0.2">
      <c r="A414" s="15">
        <v>408</v>
      </c>
      <c r="B414" s="20">
        <v>1499</v>
      </c>
      <c r="C414" s="21" t="s">
        <v>123</v>
      </c>
      <c r="D414" s="22">
        <v>-16559.367289999998</v>
      </c>
      <c r="E414" s="22">
        <f t="shared" si="18"/>
        <v>-16559.367289999998</v>
      </c>
      <c r="F414" s="22">
        <v>-11177.734270000001</v>
      </c>
      <c r="G414" s="22">
        <v>-105879.39492000001</v>
      </c>
      <c r="H414" s="22">
        <v>-74639.560490000003</v>
      </c>
      <c r="I414" s="22">
        <f t="shared" si="19"/>
        <v>-191696.68968000001</v>
      </c>
      <c r="J414" s="22">
        <f t="shared" si="20"/>
        <v>-208256.05697000001</v>
      </c>
      <c r="K414" s="22">
        <v>-14505.387930000001</v>
      </c>
    </row>
    <row r="415" spans="1:11" x14ac:dyDescent="0.2">
      <c r="A415" s="15">
        <v>409</v>
      </c>
      <c r="B415" s="20">
        <v>149905</v>
      </c>
      <c r="C415" s="21" t="s">
        <v>124</v>
      </c>
      <c r="D415" s="22">
        <v>-13181.531720000001</v>
      </c>
      <c r="E415" s="22">
        <f t="shared" si="18"/>
        <v>-13181.531720000001</v>
      </c>
      <c r="F415" s="22"/>
      <c r="G415" s="22">
        <v>-63372.349589999998</v>
      </c>
      <c r="H415" s="22">
        <v>-45875.117859999998</v>
      </c>
      <c r="I415" s="22">
        <f t="shared" si="19"/>
        <v>-109247.46745</v>
      </c>
      <c r="J415" s="22">
        <f t="shared" si="20"/>
        <v>-122428.99917</v>
      </c>
      <c r="K415" s="22"/>
    </row>
    <row r="416" spans="1:11" x14ac:dyDescent="0.2">
      <c r="A416" s="15">
        <v>410</v>
      </c>
      <c r="B416" s="20">
        <v>149910</v>
      </c>
      <c r="C416" s="21" t="s">
        <v>125</v>
      </c>
      <c r="D416" s="22">
        <v>0</v>
      </c>
      <c r="E416" s="22">
        <f t="shared" si="18"/>
        <v>0</v>
      </c>
      <c r="F416" s="22">
        <v>0</v>
      </c>
      <c r="G416" s="22">
        <v>-3126.5360900000001</v>
      </c>
      <c r="H416" s="22">
        <v>0</v>
      </c>
      <c r="I416" s="22">
        <f t="shared" si="19"/>
        <v>-3126.5360900000001</v>
      </c>
      <c r="J416" s="22">
        <f t="shared" si="20"/>
        <v>-3126.5360900000001</v>
      </c>
      <c r="K416" s="22"/>
    </row>
    <row r="417" spans="1:11" x14ac:dyDescent="0.2">
      <c r="A417" s="15">
        <v>411</v>
      </c>
      <c r="B417" s="20">
        <v>149915</v>
      </c>
      <c r="C417" s="21" t="s">
        <v>126</v>
      </c>
      <c r="D417" s="22">
        <v>-428.48183</v>
      </c>
      <c r="E417" s="22">
        <f t="shared" si="18"/>
        <v>-428.48183</v>
      </c>
      <c r="F417" s="22"/>
      <c r="G417" s="22"/>
      <c r="H417" s="22"/>
      <c r="I417" s="22">
        <f t="shared" si="19"/>
        <v>0</v>
      </c>
      <c r="J417" s="22">
        <f t="shared" si="20"/>
        <v>-428.48183</v>
      </c>
      <c r="K417" s="22"/>
    </row>
    <row r="418" spans="1:11" x14ac:dyDescent="0.2">
      <c r="A418" s="15">
        <v>412</v>
      </c>
      <c r="B418" s="20">
        <v>149920</v>
      </c>
      <c r="C418" s="21" t="s">
        <v>127</v>
      </c>
      <c r="D418" s="22"/>
      <c r="E418" s="22">
        <f t="shared" si="18"/>
        <v>0</v>
      </c>
      <c r="F418" s="22"/>
      <c r="G418" s="22">
        <v>-8710.1586900000002</v>
      </c>
      <c r="H418" s="22">
        <v>-1245.7939899999999</v>
      </c>
      <c r="I418" s="22">
        <f t="shared" si="19"/>
        <v>-9955.9526800000003</v>
      </c>
      <c r="J418" s="22">
        <f t="shared" si="20"/>
        <v>-9955.9526800000003</v>
      </c>
      <c r="K418" s="22"/>
    </row>
    <row r="419" spans="1:11" x14ac:dyDescent="0.2">
      <c r="A419" s="15">
        <v>413</v>
      </c>
      <c r="B419" s="20">
        <v>149925</v>
      </c>
      <c r="C419" s="21" t="s">
        <v>128</v>
      </c>
      <c r="D419" s="22"/>
      <c r="E419" s="22">
        <f t="shared" si="18"/>
        <v>0</v>
      </c>
      <c r="F419" s="22"/>
      <c r="G419" s="22"/>
      <c r="H419" s="22"/>
      <c r="I419" s="22">
        <f t="shared" si="19"/>
        <v>0</v>
      </c>
      <c r="J419" s="22">
        <f t="shared" si="20"/>
        <v>0</v>
      </c>
      <c r="K419" s="22">
        <v>-10026.98093</v>
      </c>
    </row>
    <row r="420" spans="1:11" x14ac:dyDescent="0.2">
      <c r="A420" s="15">
        <v>414</v>
      </c>
      <c r="B420" s="20">
        <v>149930</v>
      </c>
      <c r="C420" s="21" t="s">
        <v>129</v>
      </c>
      <c r="D420" s="22"/>
      <c r="E420" s="22">
        <f t="shared" si="18"/>
        <v>0</v>
      </c>
      <c r="F420" s="22">
        <v>-9485.7468100000006</v>
      </c>
      <c r="G420" s="22"/>
      <c r="H420" s="22"/>
      <c r="I420" s="22">
        <f t="shared" si="19"/>
        <v>-9485.7468100000006</v>
      </c>
      <c r="J420" s="22">
        <f t="shared" si="20"/>
        <v>-9485.7468100000006</v>
      </c>
      <c r="K420" s="22"/>
    </row>
    <row r="421" spans="1:11" x14ac:dyDescent="0.2">
      <c r="A421" s="15">
        <v>415</v>
      </c>
      <c r="B421" s="20">
        <v>149945</v>
      </c>
      <c r="C421" s="21" t="s">
        <v>130</v>
      </c>
      <c r="D421" s="22">
        <v>-7.5570599999999999</v>
      </c>
      <c r="E421" s="22">
        <f t="shared" si="18"/>
        <v>-7.5570599999999999</v>
      </c>
      <c r="F421" s="22">
        <v>0</v>
      </c>
      <c r="G421" s="22">
        <v>0</v>
      </c>
      <c r="H421" s="22">
        <v>0</v>
      </c>
      <c r="I421" s="22">
        <f t="shared" si="19"/>
        <v>0</v>
      </c>
      <c r="J421" s="22">
        <f t="shared" si="20"/>
        <v>-7.5570599999999999</v>
      </c>
      <c r="K421" s="22">
        <v>0</v>
      </c>
    </row>
    <row r="422" spans="1:11" x14ac:dyDescent="0.2">
      <c r="A422" s="15">
        <v>416</v>
      </c>
      <c r="B422" s="20">
        <v>149950</v>
      </c>
      <c r="C422" s="21" t="s">
        <v>131</v>
      </c>
      <c r="D422" s="22">
        <v>-626.38383999999996</v>
      </c>
      <c r="E422" s="22">
        <f t="shared" si="18"/>
        <v>-626.38383999999996</v>
      </c>
      <c r="F422" s="22">
        <v>0</v>
      </c>
      <c r="G422" s="22">
        <v>-30670.350549999999</v>
      </c>
      <c r="H422" s="22">
        <v>-1544.4836700000001</v>
      </c>
      <c r="I422" s="22">
        <f t="shared" si="19"/>
        <v>-32214.834220000001</v>
      </c>
      <c r="J422" s="22">
        <f t="shared" si="20"/>
        <v>-32841.218059999999</v>
      </c>
      <c r="K422" s="22">
        <v>0</v>
      </c>
    </row>
    <row r="423" spans="1:11" x14ac:dyDescent="0.2">
      <c r="A423" s="15">
        <v>417</v>
      </c>
      <c r="B423" s="20">
        <v>149990</v>
      </c>
      <c r="C423" s="21" t="s">
        <v>132</v>
      </c>
      <c r="D423" s="22">
        <v>-2315.41284</v>
      </c>
      <c r="E423" s="22">
        <f t="shared" si="18"/>
        <v>-2315.41284</v>
      </c>
      <c r="F423" s="22">
        <v>-1691.9874600000001</v>
      </c>
      <c r="G423" s="22">
        <v>0</v>
      </c>
      <c r="H423" s="22">
        <v>-25974.164970000002</v>
      </c>
      <c r="I423" s="22">
        <f t="shared" si="19"/>
        <v>-27666.152430000002</v>
      </c>
      <c r="J423" s="22">
        <f t="shared" si="20"/>
        <v>-29981.565270000003</v>
      </c>
      <c r="K423" s="22">
        <v>-4478.4070000000002</v>
      </c>
    </row>
    <row r="424" spans="1:11" x14ac:dyDescent="0.2">
      <c r="A424" s="15">
        <v>418</v>
      </c>
      <c r="B424" s="20">
        <v>15</v>
      </c>
      <c r="C424" s="21" t="s">
        <v>133</v>
      </c>
      <c r="D424" s="22"/>
      <c r="E424" s="22">
        <f t="shared" si="18"/>
        <v>0</v>
      </c>
      <c r="F424" s="22"/>
      <c r="G424" s="22">
        <v>0</v>
      </c>
      <c r="H424" s="22">
        <v>0</v>
      </c>
      <c r="I424" s="22">
        <f t="shared" si="19"/>
        <v>0</v>
      </c>
      <c r="J424" s="22">
        <f t="shared" si="20"/>
        <v>0</v>
      </c>
      <c r="K424" s="22"/>
    </row>
    <row r="425" spans="1:11" x14ac:dyDescent="0.2">
      <c r="A425" s="15">
        <v>419</v>
      </c>
      <c r="B425" s="20">
        <v>1501</v>
      </c>
      <c r="C425" s="21" t="s">
        <v>134</v>
      </c>
      <c r="D425" s="22"/>
      <c r="E425" s="22">
        <f t="shared" si="18"/>
        <v>0</v>
      </c>
      <c r="F425" s="22"/>
      <c r="G425" s="22">
        <v>0</v>
      </c>
      <c r="H425" s="22">
        <v>0</v>
      </c>
      <c r="I425" s="22">
        <f t="shared" si="19"/>
        <v>0</v>
      </c>
      <c r="J425" s="22">
        <f t="shared" si="20"/>
        <v>0</v>
      </c>
      <c r="K425" s="22"/>
    </row>
    <row r="426" spans="1:11" x14ac:dyDescent="0.2">
      <c r="A426" s="15">
        <v>420</v>
      </c>
      <c r="B426" s="20">
        <v>1502</v>
      </c>
      <c r="C426" s="21" t="s">
        <v>135</v>
      </c>
      <c r="D426" s="22"/>
      <c r="E426" s="22">
        <f t="shared" si="18"/>
        <v>0</v>
      </c>
      <c r="F426" s="22"/>
      <c r="G426" s="22">
        <v>0</v>
      </c>
      <c r="H426" s="22">
        <v>0</v>
      </c>
      <c r="I426" s="22">
        <f t="shared" si="19"/>
        <v>0</v>
      </c>
      <c r="J426" s="22">
        <f t="shared" si="20"/>
        <v>0</v>
      </c>
      <c r="K426" s="22"/>
    </row>
    <row r="427" spans="1:11" x14ac:dyDescent="0.2">
      <c r="A427" s="15">
        <v>421</v>
      </c>
      <c r="B427" s="20">
        <v>16</v>
      </c>
      <c r="C427" s="21" t="s">
        <v>136</v>
      </c>
      <c r="D427" s="22">
        <v>3355.36913</v>
      </c>
      <c r="E427" s="22">
        <f t="shared" si="18"/>
        <v>3355.36913</v>
      </c>
      <c r="F427" s="22">
        <v>72344.741649999996</v>
      </c>
      <c r="G427" s="22">
        <v>203581.0502</v>
      </c>
      <c r="H427" s="22">
        <v>82129.793619999997</v>
      </c>
      <c r="I427" s="22">
        <f t="shared" si="19"/>
        <v>358055.58546999999</v>
      </c>
      <c r="J427" s="22">
        <f t="shared" si="20"/>
        <v>361410.9546</v>
      </c>
      <c r="K427" s="22">
        <v>2569.4989300000002</v>
      </c>
    </row>
    <row r="428" spans="1:11" x14ac:dyDescent="0.2">
      <c r="A428" s="15">
        <v>422</v>
      </c>
      <c r="B428" s="20">
        <v>1601</v>
      </c>
      <c r="C428" s="21" t="s">
        <v>137</v>
      </c>
      <c r="D428" s="22">
        <v>0</v>
      </c>
      <c r="E428" s="22">
        <f t="shared" si="18"/>
        <v>0</v>
      </c>
      <c r="F428" s="22">
        <v>0</v>
      </c>
      <c r="G428" s="22">
        <v>0</v>
      </c>
      <c r="H428" s="22">
        <v>0</v>
      </c>
      <c r="I428" s="22">
        <f t="shared" si="19"/>
        <v>0</v>
      </c>
      <c r="J428" s="22">
        <f t="shared" si="20"/>
        <v>0</v>
      </c>
      <c r="K428" s="22">
        <v>0</v>
      </c>
    </row>
    <row r="429" spans="1:11" x14ac:dyDescent="0.2">
      <c r="A429" s="15">
        <v>423</v>
      </c>
      <c r="B429" s="20">
        <v>160105</v>
      </c>
      <c r="C429" s="21" t="s">
        <v>138</v>
      </c>
      <c r="D429" s="22">
        <v>0</v>
      </c>
      <c r="E429" s="22">
        <f t="shared" si="18"/>
        <v>0</v>
      </c>
      <c r="F429" s="22">
        <v>0</v>
      </c>
      <c r="G429" s="22">
        <v>0</v>
      </c>
      <c r="H429" s="22">
        <v>0</v>
      </c>
      <c r="I429" s="22">
        <f t="shared" si="19"/>
        <v>0</v>
      </c>
      <c r="J429" s="22">
        <f t="shared" si="20"/>
        <v>0</v>
      </c>
      <c r="K429" s="22"/>
    </row>
    <row r="430" spans="1:11" x14ac:dyDescent="0.2">
      <c r="A430" s="15">
        <v>424</v>
      </c>
      <c r="B430" s="20">
        <v>160110</v>
      </c>
      <c r="C430" s="21" t="s">
        <v>33</v>
      </c>
      <c r="D430" s="22">
        <v>0</v>
      </c>
      <c r="E430" s="22">
        <f t="shared" si="18"/>
        <v>0</v>
      </c>
      <c r="F430" s="22">
        <v>0</v>
      </c>
      <c r="G430" s="22">
        <v>0</v>
      </c>
      <c r="H430" s="22">
        <v>0</v>
      </c>
      <c r="I430" s="22">
        <f t="shared" si="19"/>
        <v>0</v>
      </c>
      <c r="J430" s="22">
        <f t="shared" si="20"/>
        <v>0</v>
      </c>
      <c r="K430" s="22">
        <v>0</v>
      </c>
    </row>
    <row r="431" spans="1:11" x14ac:dyDescent="0.2">
      <c r="A431" s="15">
        <v>425</v>
      </c>
      <c r="B431" s="20">
        <v>1602</v>
      </c>
      <c r="C431" s="21" t="s">
        <v>139</v>
      </c>
      <c r="D431" s="22">
        <v>291.84158000000002</v>
      </c>
      <c r="E431" s="22">
        <f t="shared" si="18"/>
        <v>291.84158000000002</v>
      </c>
      <c r="F431" s="22">
        <v>363.625</v>
      </c>
      <c r="G431" s="22">
        <v>930.27409</v>
      </c>
      <c r="H431" s="22">
        <v>3196.2276099999999</v>
      </c>
      <c r="I431" s="22">
        <f t="shared" si="19"/>
        <v>4490.1266999999998</v>
      </c>
      <c r="J431" s="22">
        <f t="shared" si="20"/>
        <v>4781.96828</v>
      </c>
      <c r="K431" s="22">
        <v>0</v>
      </c>
    </row>
    <row r="432" spans="1:11" x14ac:dyDescent="0.2">
      <c r="A432" s="15">
        <v>426</v>
      </c>
      <c r="B432" s="20">
        <v>160205</v>
      </c>
      <c r="C432" s="21" t="s">
        <v>140</v>
      </c>
      <c r="D432" s="22">
        <v>0</v>
      </c>
      <c r="E432" s="22">
        <f t="shared" si="18"/>
        <v>0</v>
      </c>
      <c r="F432" s="22">
        <v>0</v>
      </c>
      <c r="G432" s="22">
        <v>926.33367999999996</v>
      </c>
      <c r="H432" s="22">
        <v>0</v>
      </c>
      <c r="I432" s="22">
        <f t="shared" si="19"/>
        <v>926.33367999999996</v>
      </c>
      <c r="J432" s="22">
        <f t="shared" si="20"/>
        <v>926.33367999999996</v>
      </c>
      <c r="K432" s="22">
        <v>0</v>
      </c>
    </row>
    <row r="433" spans="1:11" x14ac:dyDescent="0.2">
      <c r="A433" s="15">
        <v>427</v>
      </c>
      <c r="B433" s="20">
        <v>160210</v>
      </c>
      <c r="C433" s="21" t="s">
        <v>141</v>
      </c>
      <c r="D433" s="22">
        <v>288.49266</v>
      </c>
      <c r="E433" s="22">
        <f t="shared" si="18"/>
        <v>288.49266</v>
      </c>
      <c r="F433" s="22">
        <v>0</v>
      </c>
      <c r="G433" s="22">
        <v>0</v>
      </c>
      <c r="H433" s="22">
        <v>2787.7276099999999</v>
      </c>
      <c r="I433" s="22">
        <f t="shared" si="19"/>
        <v>2787.7276099999999</v>
      </c>
      <c r="J433" s="22">
        <f t="shared" si="20"/>
        <v>3076.2202699999998</v>
      </c>
      <c r="K433" s="22">
        <v>0</v>
      </c>
    </row>
    <row r="434" spans="1:11" x14ac:dyDescent="0.2">
      <c r="A434" s="15">
        <v>428</v>
      </c>
      <c r="B434" s="20">
        <v>160215</v>
      </c>
      <c r="C434" s="21" t="s">
        <v>142</v>
      </c>
      <c r="D434" s="22">
        <v>3.3489200000000001</v>
      </c>
      <c r="E434" s="22">
        <f t="shared" si="18"/>
        <v>3.3489200000000001</v>
      </c>
      <c r="F434" s="22">
        <v>231.125</v>
      </c>
      <c r="G434" s="22">
        <v>0</v>
      </c>
      <c r="H434" s="22">
        <v>0</v>
      </c>
      <c r="I434" s="22">
        <f t="shared" si="19"/>
        <v>231.125</v>
      </c>
      <c r="J434" s="22">
        <f t="shared" si="20"/>
        <v>234.47391999999999</v>
      </c>
      <c r="K434" s="22">
        <v>0</v>
      </c>
    </row>
    <row r="435" spans="1:11" x14ac:dyDescent="0.2">
      <c r="A435" s="15">
        <v>429</v>
      </c>
      <c r="B435" s="20">
        <v>160220</v>
      </c>
      <c r="C435" s="21" t="s">
        <v>53</v>
      </c>
      <c r="D435" s="22">
        <v>0</v>
      </c>
      <c r="E435" s="22">
        <f t="shared" si="18"/>
        <v>0</v>
      </c>
      <c r="F435" s="22">
        <v>132.5</v>
      </c>
      <c r="G435" s="22">
        <v>3.94041</v>
      </c>
      <c r="H435" s="22">
        <v>408.5</v>
      </c>
      <c r="I435" s="22">
        <f t="shared" si="19"/>
        <v>544.94040999999993</v>
      </c>
      <c r="J435" s="22">
        <f t="shared" si="20"/>
        <v>544.94040999999993</v>
      </c>
      <c r="K435" s="22">
        <v>0</v>
      </c>
    </row>
    <row r="436" spans="1:11" x14ac:dyDescent="0.2">
      <c r="A436" s="15">
        <v>430</v>
      </c>
      <c r="B436" s="20">
        <v>1603</v>
      </c>
      <c r="C436" s="21" t="s">
        <v>143</v>
      </c>
      <c r="D436" s="22">
        <v>818.37465999999995</v>
      </c>
      <c r="E436" s="22">
        <f t="shared" si="18"/>
        <v>818.37465999999995</v>
      </c>
      <c r="F436" s="22">
        <v>3155.1195299999999</v>
      </c>
      <c r="G436" s="22">
        <v>23611.48184</v>
      </c>
      <c r="H436" s="22">
        <v>10872.575639999999</v>
      </c>
      <c r="I436" s="22">
        <f t="shared" si="19"/>
        <v>37639.177009999999</v>
      </c>
      <c r="J436" s="22">
        <f t="shared" si="20"/>
        <v>38457.551670000001</v>
      </c>
      <c r="K436" s="22">
        <v>296.26765999999998</v>
      </c>
    </row>
    <row r="437" spans="1:11" x14ac:dyDescent="0.2">
      <c r="A437" s="15">
        <v>431</v>
      </c>
      <c r="B437" s="20">
        <v>160305</v>
      </c>
      <c r="C437" s="21" t="s">
        <v>144</v>
      </c>
      <c r="D437" s="22">
        <v>594.29264999999998</v>
      </c>
      <c r="E437" s="22">
        <f t="shared" si="18"/>
        <v>594.29264999999998</v>
      </c>
      <c r="F437" s="22"/>
      <c r="G437" s="22">
        <v>18213.78774</v>
      </c>
      <c r="H437" s="22">
        <v>10590.362440000001</v>
      </c>
      <c r="I437" s="22">
        <f t="shared" si="19"/>
        <v>28804.150180000001</v>
      </c>
      <c r="J437" s="22">
        <f t="shared" si="20"/>
        <v>29398.44283</v>
      </c>
      <c r="K437" s="22"/>
    </row>
    <row r="438" spans="1:11" x14ac:dyDescent="0.2">
      <c r="A438" s="15">
        <v>432</v>
      </c>
      <c r="B438" s="20">
        <v>160310</v>
      </c>
      <c r="C438" s="21" t="s">
        <v>145</v>
      </c>
      <c r="D438" s="22">
        <v>0</v>
      </c>
      <c r="E438" s="22">
        <f t="shared" si="18"/>
        <v>0</v>
      </c>
      <c r="F438" s="22">
        <v>0</v>
      </c>
      <c r="G438" s="22">
        <v>361.60503</v>
      </c>
      <c r="H438" s="22">
        <v>0</v>
      </c>
      <c r="I438" s="22">
        <f t="shared" si="19"/>
        <v>361.60503</v>
      </c>
      <c r="J438" s="22">
        <f t="shared" si="20"/>
        <v>361.60503</v>
      </c>
      <c r="K438" s="22"/>
    </row>
    <row r="439" spans="1:11" x14ac:dyDescent="0.2">
      <c r="A439" s="15">
        <v>433</v>
      </c>
      <c r="B439" s="20">
        <v>160315</v>
      </c>
      <c r="C439" s="21" t="s">
        <v>146</v>
      </c>
      <c r="D439" s="22">
        <v>109.86618</v>
      </c>
      <c r="E439" s="22">
        <f t="shared" si="18"/>
        <v>109.86618</v>
      </c>
      <c r="F439" s="22"/>
      <c r="G439" s="22"/>
      <c r="H439" s="22"/>
      <c r="I439" s="22">
        <f t="shared" si="19"/>
        <v>0</v>
      </c>
      <c r="J439" s="22">
        <f t="shared" si="20"/>
        <v>109.86618</v>
      </c>
      <c r="K439" s="22"/>
    </row>
    <row r="440" spans="1:11" x14ac:dyDescent="0.2">
      <c r="A440" s="15">
        <v>434</v>
      </c>
      <c r="B440" s="20">
        <v>160320</v>
      </c>
      <c r="C440" s="21" t="s">
        <v>147</v>
      </c>
      <c r="D440" s="22"/>
      <c r="E440" s="22">
        <f t="shared" si="18"/>
        <v>0</v>
      </c>
      <c r="F440" s="22"/>
      <c r="G440" s="22">
        <v>4393.6021300000002</v>
      </c>
      <c r="H440" s="22">
        <v>143.89695</v>
      </c>
      <c r="I440" s="22">
        <f t="shared" si="19"/>
        <v>4537.4990800000005</v>
      </c>
      <c r="J440" s="22">
        <f t="shared" si="20"/>
        <v>4537.4990800000005</v>
      </c>
      <c r="K440" s="22"/>
    </row>
    <row r="441" spans="1:11" x14ac:dyDescent="0.2">
      <c r="A441" s="15">
        <v>435</v>
      </c>
      <c r="B441" s="20">
        <v>160325</v>
      </c>
      <c r="C441" s="21" t="s">
        <v>148</v>
      </c>
      <c r="D441" s="22"/>
      <c r="E441" s="22">
        <f t="shared" si="18"/>
        <v>0</v>
      </c>
      <c r="F441" s="22"/>
      <c r="G441" s="22"/>
      <c r="H441" s="22"/>
      <c r="I441" s="22">
        <f t="shared" si="19"/>
        <v>0</v>
      </c>
      <c r="J441" s="22">
        <f t="shared" si="20"/>
        <v>0</v>
      </c>
      <c r="K441" s="22">
        <v>296.26765999999998</v>
      </c>
    </row>
    <row r="442" spans="1:11" x14ac:dyDescent="0.2">
      <c r="A442" s="15">
        <v>436</v>
      </c>
      <c r="B442" s="20">
        <v>160330</v>
      </c>
      <c r="C442" s="21" t="s">
        <v>149</v>
      </c>
      <c r="D442" s="22"/>
      <c r="E442" s="22">
        <f t="shared" si="18"/>
        <v>0</v>
      </c>
      <c r="F442" s="22">
        <v>3155.1195299999999</v>
      </c>
      <c r="G442" s="22"/>
      <c r="H442" s="22"/>
      <c r="I442" s="22">
        <f t="shared" si="19"/>
        <v>3155.1195299999999</v>
      </c>
      <c r="J442" s="22">
        <f t="shared" si="20"/>
        <v>3155.1195299999999</v>
      </c>
      <c r="K442" s="22"/>
    </row>
    <row r="443" spans="1:11" x14ac:dyDescent="0.2">
      <c r="A443" s="15">
        <v>437</v>
      </c>
      <c r="B443" s="20">
        <v>160345</v>
      </c>
      <c r="C443" s="21" t="s">
        <v>150</v>
      </c>
      <c r="D443" s="22">
        <v>2.2167400000000002</v>
      </c>
      <c r="E443" s="22">
        <f t="shared" si="18"/>
        <v>2.2167400000000002</v>
      </c>
      <c r="F443" s="22">
        <v>0</v>
      </c>
      <c r="G443" s="22">
        <v>0</v>
      </c>
      <c r="H443" s="22">
        <v>0</v>
      </c>
      <c r="I443" s="22">
        <f t="shared" si="19"/>
        <v>0</v>
      </c>
      <c r="J443" s="22">
        <f t="shared" si="20"/>
        <v>2.2167400000000002</v>
      </c>
      <c r="K443" s="22">
        <v>0</v>
      </c>
    </row>
    <row r="444" spans="1:11" x14ac:dyDescent="0.2">
      <c r="A444" s="15">
        <v>438</v>
      </c>
      <c r="B444" s="20">
        <v>160350</v>
      </c>
      <c r="C444" s="21" t="s">
        <v>151</v>
      </c>
      <c r="D444" s="22">
        <v>111.99909</v>
      </c>
      <c r="E444" s="22">
        <f t="shared" si="18"/>
        <v>111.99909</v>
      </c>
      <c r="F444" s="22">
        <v>0</v>
      </c>
      <c r="G444" s="22">
        <v>642.48694</v>
      </c>
      <c r="H444" s="22">
        <v>138.31625</v>
      </c>
      <c r="I444" s="22">
        <f t="shared" si="19"/>
        <v>780.80318999999997</v>
      </c>
      <c r="J444" s="22">
        <f t="shared" si="20"/>
        <v>892.80228</v>
      </c>
      <c r="K444" s="22">
        <v>0</v>
      </c>
    </row>
    <row r="445" spans="1:11" x14ac:dyDescent="0.2">
      <c r="A445" s="15">
        <v>439</v>
      </c>
      <c r="B445" s="20">
        <v>1604</v>
      </c>
      <c r="C445" s="21" t="s">
        <v>152</v>
      </c>
      <c r="D445" s="22">
        <v>0</v>
      </c>
      <c r="E445" s="22">
        <f t="shared" si="18"/>
        <v>0</v>
      </c>
      <c r="F445" s="22">
        <v>0</v>
      </c>
      <c r="G445" s="22">
        <v>18.950410000000002</v>
      </c>
      <c r="H445" s="22">
        <v>309.14350000000002</v>
      </c>
      <c r="I445" s="22">
        <f t="shared" si="19"/>
        <v>328.09390999999999</v>
      </c>
      <c r="J445" s="22">
        <f t="shared" si="20"/>
        <v>328.09390999999999</v>
      </c>
      <c r="K445" s="22">
        <v>0</v>
      </c>
    </row>
    <row r="446" spans="1:11" x14ac:dyDescent="0.2">
      <c r="A446" s="15">
        <v>440</v>
      </c>
      <c r="B446" s="20">
        <v>1605</v>
      </c>
      <c r="C446" s="21" t="s">
        <v>153</v>
      </c>
      <c r="D446" s="22">
        <v>0</v>
      </c>
      <c r="E446" s="22">
        <f t="shared" si="18"/>
        <v>0</v>
      </c>
      <c r="F446" s="22">
        <v>0.17757000000000001</v>
      </c>
      <c r="G446" s="22">
        <v>54.685369999999999</v>
      </c>
      <c r="H446" s="22">
        <v>0</v>
      </c>
      <c r="I446" s="22">
        <f t="shared" si="19"/>
        <v>54.862940000000002</v>
      </c>
      <c r="J446" s="22">
        <f t="shared" si="20"/>
        <v>54.862940000000002</v>
      </c>
      <c r="K446" s="22">
        <v>0</v>
      </c>
    </row>
    <row r="447" spans="1:11" x14ac:dyDescent="0.2">
      <c r="A447" s="15">
        <v>441</v>
      </c>
      <c r="B447" s="20">
        <v>160505</v>
      </c>
      <c r="C447" s="21" t="s">
        <v>154</v>
      </c>
      <c r="D447" s="22"/>
      <c r="E447" s="22">
        <f t="shared" si="18"/>
        <v>0</v>
      </c>
      <c r="F447" s="22"/>
      <c r="G447" s="22">
        <v>54.685369999999999</v>
      </c>
      <c r="H447" s="22">
        <v>0</v>
      </c>
      <c r="I447" s="22">
        <f t="shared" si="19"/>
        <v>54.685369999999999</v>
      </c>
      <c r="J447" s="22">
        <f t="shared" si="20"/>
        <v>54.685369999999999</v>
      </c>
      <c r="K447" s="22"/>
    </row>
    <row r="448" spans="1:11" x14ac:dyDescent="0.2">
      <c r="A448" s="15">
        <v>442</v>
      </c>
      <c r="B448" s="20">
        <v>160510</v>
      </c>
      <c r="C448" s="21" t="s">
        <v>155</v>
      </c>
      <c r="D448" s="22"/>
      <c r="E448" s="22">
        <f t="shared" si="18"/>
        <v>0</v>
      </c>
      <c r="F448" s="22"/>
      <c r="G448" s="22">
        <v>0</v>
      </c>
      <c r="H448" s="22">
        <v>0</v>
      </c>
      <c r="I448" s="22">
        <f t="shared" si="19"/>
        <v>0</v>
      </c>
      <c r="J448" s="22">
        <f t="shared" si="20"/>
        <v>0</v>
      </c>
      <c r="K448" s="22"/>
    </row>
    <row r="449" spans="1:11" x14ac:dyDescent="0.2">
      <c r="A449" s="15">
        <v>443</v>
      </c>
      <c r="B449" s="20">
        <v>160515</v>
      </c>
      <c r="C449" s="21" t="s">
        <v>156</v>
      </c>
      <c r="D449" s="22">
        <v>0</v>
      </c>
      <c r="E449" s="22">
        <f t="shared" si="18"/>
        <v>0</v>
      </c>
      <c r="F449" s="22">
        <v>0</v>
      </c>
      <c r="G449" s="22">
        <v>0</v>
      </c>
      <c r="H449" s="22">
        <v>0</v>
      </c>
      <c r="I449" s="22">
        <f t="shared" si="19"/>
        <v>0</v>
      </c>
      <c r="J449" s="22">
        <f t="shared" si="20"/>
        <v>0</v>
      </c>
      <c r="K449" s="22">
        <v>0</v>
      </c>
    </row>
    <row r="450" spans="1:11" x14ac:dyDescent="0.2">
      <c r="A450" s="15">
        <v>444</v>
      </c>
      <c r="B450" s="20">
        <v>160590</v>
      </c>
      <c r="C450" s="21" t="s">
        <v>157</v>
      </c>
      <c r="D450" s="22">
        <v>0</v>
      </c>
      <c r="E450" s="22">
        <f t="shared" si="18"/>
        <v>0</v>
      </c>
      <c r="F450" s="22">
        <v>0.17757000000000001</v>
      </c>
      <c r="G450" s="22">
        <v>0</v>
      </c>
      <c r="H450" s="22">
        <v>0</v>
      </c>
      <c r="I450" s="22">
        <f t="shared" si="19"/>
        <v>0.17757000000000001</v>
      </c>
      <c r="J450" s="22">
        <f t="shared" si="20"/>
        <v>0.17757000000000001</v>
      </c>
      <c r="K450" s="22">
        <v>0</v>
      </c>
    </row>
    <row r="451" spans="1:11" x14ac:dyDescent="0.2">
      <c r="A451" s="15">
        <v>445</v>
      </c>
      <c r="B451" s="20">
        <v>1606</v>
      </c>
      <c r="C451" s="21" t="s">
        <v>158</v>
      </c>
      <c r="D451" s="22">
        <v>0</v>
      </c>
      <c r="E451" s="22">
        <f t="shared" si="18"/>
        <v>0</v>
      </c>
      <c r="F451" s="22">
        <v>0</v>
      </c>
      <c r="G451" s="22">
        <v>0</v>
      </c>
      <c r="H451" s="22">
        <v>0</v>
      </c>
      <c r="I451" s="22">
        <f t="shared" si="19"/>
        <v>0</v>
      </c>
      <c r="J451" s="22">
        <f t="shared" si="20"/>
        <v>0</v>
      </c>
      <c r="K451" s="22"/>
    </row>
    <row r="452" spans="1:11" x14ac:dyDescent="0.2">
      <c r="A452" s="15">
        <v>446</v>
      </c>
      <c r="B452" s="20">
        <v>1607</v>
      </c>
      <c r="C452" s="21" t="s">
        <v>159</v>
      </c>
      <c r="D452" s="22"/>
      <c r="E452" s="22">
        <f t="shared" si="18"/>
        <v>0</v>
      </c>
      <c r="F452" s="22"/>
      <c r="G452" s="22"/>
      <c r="H452" s="22"/>
      <c r="I452" s="22">
        <f t="shared" si="19"/>
        <v>0</v>
      </c>
      <c r="J452" s="22">
        <f t="shared" si="20"/>
        <v>0</v>
      </c>
      <c r="K452" s="22"/>
    </row>
    <row r="453" spans="1:11" x14ac:dyDescent="0.2">
      <c r="A453" s="15">
        <v>447</v>
      </c>
      <c r="B453" s="20">
        <v>1608</v>
      </c>
      <c r="C453" s="21" t="s">
        <v>160</v>
      </c>
      <c r="D453" s="22"/>
      <c r="E453" s="22">
        <f t="shared" si="18"/>
        <v>0</v>
      </c>
      <c r="F453" s="22"/>
      <c r="G453" s="22"/>
      <c r="H453" s="22"/>
      <c r="I453" s="22">
        <f t="shared" si="19"/>
        <v>0</v>
      </c>
      <c r="J453" s="22">
        <f t="shared" si="20"/>
        <v>0</v>
      </c>
      <c r="K453" s="22"/>
    </row>
    <row r="454" spans="1:11" x14ac:dyDescent="0.2">
      <c r="A454" s="15">
        <v>448</v>
      </c>
      <c r="B454" s="20">
        <v>1609</v>
      </c>
      <c r="C454" s="21" t="s">
        <v>161</v>
      </c>
      <c r="D454" s="22"/>
      <c r="E454" s="22">
        <f t="shared" si="18"/>
        <v>0</v>
      </c>
      <c r="F454" s="22"/>
      <c r="G454" s="22"/>
      <c r="H454" s="22"/>
      <c r="I454" s="22">
        <f t="shared" si="19"/>
        <v>0</v>
      </c>
      <c r="J454" s="22">
        <f t="shared" si="20"/>
        <v>0</v>
      </c>
      <c r="K454" s="22"/>
    </row>
    <row r="455" spans="1:11" x14ac:dyDescent="0.2">
      <c r="A455" s="15">
        <v>449</v>
      </c>
      <c r="B455" s="20">
        <v>1611</v>
      </c>
      <c r="C455" s="21" t="s">
        <v>162</v>
      </c>
      <c r="D455" s="22">
        <v>0</v>
      </c>
      <c r="E455" s="22">
        <f t="shared" si="18"/>
        <v>0</v>
      </c>
      <c r="F455" s="22">
        <v>0</v>
      </c>
      <c r="G455" s="22">
        <v>0</v>
      </c>
      <c r="H455" s="22">
        <v>0</v>
      </c>
      <c r="I455" s="22">
        <f t="shared" si="19"/>
        <v>0</v>
      </c>
      <c r="J455" s="22">
        <f t="shared" si="20"/>
        <v>0</v>
      </c>
      <c r="K455" s="22"/>
    </row>
    <row r="456" spans="1:11" x14ac:dyDescent="0.2">
      <c r="A456" s="15">
        <v>450</v>
      </c>
      <c r="B456" s="20">
        <v>1612</v>
      </c>
      <c r="C456" s="21" t="s">
        <v>163</v>
      </c>
      <c r="D456" s="22">
        <v>0</v>
      </c>
      <c r="E456" s="22">
        <f t="shared" si="18"/>
        <v>0</v>
      </c>
      <c r="F456" s="22">
        <v>0</v>
      </c>
      <c r="G456" s="22">
        <v>1E-3</v>
      </c>
      <c r="H456" s="22">
        <v>5619.8736200000003</v>
      </c>
      <c r="I456" s="22">
        <f t="shared" si="19"/>
        <v>5619.8746200000005</v>
      </c>
      <c r="J456" s="22">
        <f t="shared" si="20"/>
        <v>5619.8746200000005</v>
      </c>
      <c r="K456" s="22">
        <v>0</v>
      </c>
    </row>
    <row r="457" spans="1:11" x14ac:dyDescent="0.2">
      <c r="A457" s="15">
        <v>451</v>
      </c>
      <c r="B457" s="20">
        <v>1613</v>
      </c>
      <c r="C457" s="21" t="s">
        <v>164</v>
      </c>
      <c r="D457" s="22"/>
      <c r="E457" s="22">
        <f t="shared" si="18"/>
        <v>0</v>
      </c>
      <c r="F457" s="22"/>
      <c r="G457" s="22"/>
      <c r="H457" s="22"/>
      <c r="I457" s="22">
        <f t="shared" si="19"/>
        <v>0</v>
      </c>
      <c r="J457" s="22">
        <f t="shared" si="20"/>
        <v>0</v>
      </c>
      <c r="K457" s="22"/>
    </row>
    <row r="458" spans="1:11" x14ac:dyDescent="0.2">
      <c r="A458" s="15">
        <v>452</v>
      </c>
      <c r="B458" s="20">
        <v>1614</v>
      </c>
      <c r="C458" s="21" t="s">
        <v>165</v>
      </c>
      <c r="D458" s="22">
        <v>149.49474000000001</v>
      </c>
      <c r="E458" s="22">
        <f t="shared" ref="E458:E521" si="21">+D458</f>
        <v>149.49474000000001</v>
      </c>
      <c r="F458" s="22">
        <v>0</v>
      </c>
      <c r="G458" s="22">
        <v>506.82641999999998</v>
      </c>
      <c r="H458" s="22">
        <v>8163.9359599999998</v>
      </c>
      <c r="I458" s="22">
        <f t="shared" ref="I458:I521" si="22">+SUM(F458:H458)</f>
        <v>8670.7623800000001</v>
      </c>
      <c r="J458" s="22">
        <f t="shared" ref="J458:J521" si="23">+E458+I458</f>
        <v>8820.2571200000002</v>
      </c>
      <c r="K458" s="22">
        <v>0</v>
      </c>
    </row>
    <row r="459" spans="1:11" x14ac:dyDescent="0.2">
      <c r="A459" s="15">
        <v>453</v>
      </c>
      <c r="B459" s="20">
        <v>161405</v>
      </c>
      <c r="C459" s="21" t="s">
        <v>166</v>
      </c>
      <c r="D459" s="22"/>
      <c r="E459" s="22">
        <f t="shared" si="21"/>
        <v>0</v>
      </c>
      <c r="F459" s="22">
        <v>0</v>
      </c>
      <c r="G459" s="22">
        <v>0.25155</v>
      </c>
      <c r="H459" s="22">
        <v>746.60736999999995</v>
      </c>
      <c r="I459" s="22">
        <f t="shared" si="22"/>
        <v>746.8589199999999</v>
      </c>
      <c r="J459" s="22">
        <f t="shared" si="23"/>
        <v>746.8589199999999</v>
      </c>
      <c r="K459" s="22">
        <v>0</v>
      </c>
    </row>
    <row r="460" spans="1:11" x14ac:dyDescent="0.2">
      <c r="A460" s="15">
        <v>454</v>
      </c>
      <c r="B460" s="20">
        <v>161410</v>
      </c>
      <c r="C460" s="21" t="s">
        <v>167</v>
      </c>
      <c r="D460" s="22"/>
      <c r="E460" s="22">
        <f t="shared" si="21"/>
        <v>0</v>
      </c>
      <c r="F460" s="22">
        <v>0</v>
      </c>
      <c r="G460" s="22">
        <v>2.4559899999999999</v>
      </c>
      <c r="H460" s="22">
        <v>3.0000000000000001E-3</v>
      </c>
      <c r="I460" s="22">
        <f t="shared" si="22"/>
        <v>2.45899</v>
      </c>
      <c r="J460" s="22">
        <f t="shared" si="23"/>
        <v>2.45899</v>
      </c>
      <c r="K460" s="22">
        <v>0</v>
      </c>
    </row>
    <row r="461" spans="1:11" x14ac:dyDescent="0.2">
      <c r="A461" s="15">
        <v>455</v>
      </c>
      <c r="B461" s="20">
        <v>161415</v>
      </c>
      <c r="C461" s="21" t="s">
        <v>168</v>
      </c>
      <c r="D461" s="22"/>
      <c r="E461" s="22">
        <f t="shared" si="21"/>
        <v>0</v>
      </c>
      <c r="F461" s="22">
        <v>0</v>
      </c>
      <c r="G461" s="22">
        <v>0</v>
      </c>
      <c r="H461" s="22">
        <v>0.95855999999999997</v>
      </c>
      <c r="I461" s="22">
        <f t="shared" si="22"/>
        <v>0.95855999999999997</v>
      </c>
      <c r="J461" s="22">
        <f t="shared" si="23"/>
        <v>0.95855999999999997</v>
      </c>
      <c r="K461" s="22">
        <v>0</v>
      </c>
    </row>
    <row r="462" spans="1:11" x14ac:dyDescent="0.2">
      <c r="A462" s="15">
        <v>456</v>
      </c>
      <c r="B462" s="20">
        <v>161420</v>
      </c>
      <c r="C462" s="21" t="s">
        <v>169</v>
      </c>
      <c r="D462" s="22"/>
      <c r="E462" s="22">
        <f t="shared" si="21"/>
        <v>0</v>
      </c>
      <c r="F462" s="22">
        <v>0</v>
      </c>
      <c r="G462" s="22">
        <v>0.16</v>
      </c>
      <c r="H462" s="22">
        <v>1053.0135299999999</v>
      </c>
      <c r="I462" s="22">
        <f t="shared" si="22"/>
        <v>1053.17353</v>
      </c>
      <c r="J462" s="22">
        <f t="shared" si="23"/>
        <v>1053.17353</v>
      </c>
      <c r="K462" s="22">
        <v>0</v>
      </c>
    </row>
    <row r="463" spans="1:11" x14ac:dyDescent="0.2">
      <c r="A463" s="15">
        <v>457</v>
      </c>
      <c r="B463" s="20">
        <v>161425</v>
      </c>
      <c r="C463" s="21" t="s">
        <v>170</v>
      </c>
      <c r="D463" s="22"/>
      <c r="E463" s="22">
        <f t="shared" si="21"/>
        <v>0</v>
      </c>
      <c r="F463" s="22">
        <v>0</v>
      </c>
      <c r="G463" s="22">
        <v>0</v>
      </c>
      <c r="H463" s="22">
        <v>4.1726299999999998</v>
      </c>
      <c r="I463" s="22">
        <f t="shared" si="22"/>
        <v>4.1726299999999998</v>
      </c>
      <c r="J463" s="22">
        <f t="shared" si="23"/>
        <v>4.1726299999999998</v>
      </c>
      <c r="K463" s="22">
        <v>0</v>
      </c>
    </row>
    <row r="464" spans="1:11" x14ac:dyDescent="0.2">
      <c r="A464" s="15">
        <v>458</v>
      </c>
      <c r="B464" s="20">
        <v>161430</v>
      </c>
      <c r="C464" s="21" t="s">
        <v>171</v>
      </c>
      <c r="D464" s="22">
        <v>149.49474000000001</v>
      </c>
      <c r="E464" s="22">
        <f t="shared" si="21"/>
        <v>149.49474000000001</v>
      </c>
      <c r="F464" s="22">
        <v>0</v>
      </c>
      <c r="G464" s="22">
        <v>503.53757000000002</v>
      </c>
      <c r="H464" s="22">
        <v>374.01213000000001</v>
      </c>
      <c r="I464" s="22">
        <f t="shared" si="22"/>
        <v>877.54970000000003</v>
      </c>
      <c r="J464" s="22">
        <f t="shared" si="23"/>
        <v>1027.0444400000001</v>
      </c>
      <c r="K464" s="22">
        <v>0</v>
      </c>
    </row>
    <row r="465" spans="1:11" x14ac:dyDescent="0.2">
      <c r="A465" s="15">
        <v>459</v>
      </c>
      <c r="B465" s="20">
        <v>161490</v>
      </c>
      <c r="C465" s="21" t="s">
        <v>58</v>
      </c>
      <c r="D465" s="22">
        <v>0</v>
      </c>
      <c r="E465" s="22">
        <f t="shared" si="21"/>
        <v>0</v>
      </c>
      <c r="F465" s="22">
        <v>0</v>
      </c>
      <c r="G465" s="22">
        <v>0.42131000000000002</v>
      </c>
      <c r="H465" s="22">
        <v>5985.1687400000001</v>
      </c>
      <c r="I465" s="22">
        <f t="shared" si="22"/>
        <v>5985.5900499999998</v>
      </c>
      <c r="J465" s="22">
        <f t="shared" si="23"/>
        <v>5985.5900499999998</v>
      </c>
      <c r="K465" s="22">
        <v>0</v>
      </c>
    </row>
    <row r="466" spans="1:11" x14ac:dyDescent="0.2">
      <c r="A466" s="15">
        <v>460</v>
      </c>
      <c r="B466" s="20">
        <v>1615</v>
      </c>
      <c r="C466" s="21" t="s">
        <v>172</v>
      </c>
      <c r="D466" s="22">
        <v>49.096559999999997</v>
      </c>
      <c r="E466" s="22">
        <f t="shared" si="21"/>
        <v>49.096559999999997</v>
      </c>
      <c r="F466" s="22">
        <v>0</v>
      </c>
      <c r="G466" s="22">
        <v>3815.42218</v>
      </c>
      <c r="H466" s="22">
        <v>2185.8387200000002</v>
      </c>
      <c r="I466" s="22">
        <f t="shared" si="22"/>
        <v>6001.2609000000002</v>
      </c>
      <c r="J466" s="22">
        <f t="shared" si="23"/>
        <v>6050.3574600000002</v>
      </c>
      <c r="K466" s="22">
        <v>0</v>
      </c>
    </row>
    <row r="467" spans="1:11" x14ac:dyDescent="0.2">
      <c r="A467" s="15">
        <v>461</v>
      </c>
      <c r="B467" s="20">
        <v>161505</v>
      </c>
      <c r="C467" s="21" t="s">
        <v>173</v>
      </c>
      <c r="D467" s="22">
        <v>0</v>
      </c>
      <c r="E467" s="22">
        <f t="shared" si="21"/>
        <v>0</v>
      </c>
      <c r="F467" s="22"/>
      <c r="G467" s="22">
        <v>3735.4758499999998</v>
      </c>
      <c r="H467" s="22">
        <v>2185.8387200000002</v>
      </c>
      <c r="I467" s="22">
        <f t="shared" si="22"/>
        <v>5921.3145700000005</v>
      </c>
      <c r="J467" s="22">
        <f t="shared" si="23"/>
        <v>5921.3145700000005</v>
      </c>
      <c r="K467" s="22"/>
    </row>
    <row r="468" spans="1:11" x14ac:dyDescent="0.2">
      <c r="A468" s="15">
        <v>462</v>
      </c>
      <c r="B468" s="20">
        <v>161510</v>
      </c>
      <c r="C468" s="21" t="s">
        <v>174</v>
      </c>
      <c r="D468" s="22">
        <v>0</v>
      </c>
      <c r="E468" s="22">
        <f t="shared" si="21"/>
        <v>0</v>
      </c>
      <c r="F468" s="22">
        <v>0</v>
      </c>
      <c r="G468" s="22">
        <v>0</v>
      </c>
      <c r="H468" s="22">
        <v>0</v>
      </c>
      <c r="I468" s="22">
        <f t="shared" si="22"/>
        <v>0</v>
      </c>
      <c r="J468" s="22">
        <f t="shared" si="23"/>
        <v>0</v>
      </c>
      <c r="K468" s="22"/>
    </row>
    <row r="469" spans="1:11" x14ac:dyDescent="0.2">
      <c r="A469" s="15">
        <v>463</v>
      </c>
      <c r="B469" s="20">
        <v>161515</v>
      </c>
      <c r="C469" s="21" t="s">
        <v>175</v>
      </c>
      <c r="D469" s="22">
        <v>49.096559999999997</v>
      </c>
      <c r="E469" s="22">
        <f t="shared" si="21"/>
        <v>49.096559999999997</v>
      </c>
      <c r="F469" s="22"/>
      <c r="G469" s="22"/>
      <c r="H469" s="22"/>
      <c r="I469" s="22">
        <f t="shared" si="22"/>
        <v>0</v>
      </c>
      <c r="J469" s="22">
        <f t="shared" si="23"/>
        <v>49.096559999999997</v>
      </c>
      <c r="K469" s="22"/>
    </row>
    <row r="470" spans="1:11" x14ac:dyDescent="0.2">
      <c r="A470" s="15">
        <v>464</v>
      </c>
      <c r="B470" s="20">
        <v>161520</v>
      </c>
      <c r="C470" s="21" t="s">
        <v>176</v>
      </c>
      <c r="D470" s="22"/>
      <c r="E470" s="22">
        <f t="shared" si="21"/>
        <v>0</v>
      </c>
      <c r="F470" s="22"/>
      <c r="G470" s="22">
        <v>79.946330000000003</v>
      </c>
      <c r="H470" s="22">
        <v>0</v>
      </c>
      <c r="I470" s="22">
        <f t="shared" si="22"/>
        <v>79.946330000000003</v>
      </c>
      <c r="J470" s="22">
        <f t="shared" si="23"/>
        <v>79.946330000000003</v>
      </c>
      <c r="K470" s="22"/>
    </row>
    <row r="471" spans="1:11" x14ac:dyDescent="0.2">
      <c r="A471" s="15">
        <v>465</v>
      </c>
      <c r="B471" s="20">
        <v>161525</v>
      </c>
      <c r="C471" s="21" t="s">
        <v>177</v>
      </c>
      <c r="D471" s="22"/>
      <c r="E471" s="22">
        <f t="shared" si="21"/>
        <v>0</v>
      </c>
      <c r="F471" s="22"/>
      <c r="G471" s="22"/>
      <c r="H471" s="22"/>
      <c r="I471" s="22">
        <f t="shared" si="22"/>
        <v>0</v>
      </c>
      <c r="J471" s="22">
        <f t="shared" si="23"/>
        <v>0</v>
      </c>
      <c r="K471" s="22">
        <v>0</v>
      </c>
    </row>
    <row r="472" spans="1:11" x14ac:dyDescent="0.2">
      <c r="A472" s="15">
        <v>466</v>
      </c>
      <c r="B472" s="20">
        <v>161530</v>
      </c>
      <c r="C472" s="21" t="s">
        <v>178</v>
      </c>
      <c r="D472" s="22"/>
      <c r="E472" s="22">
        <f t="shared" si="21"/>
        <v>0</v>
      </c>
      <c r="F472" s="22">
        <v>0</v>
      </c>
      <c r="G472" s="22"/>
      <c r="H472" s="22"/>
      <c r="I472" s="22">
        <f t="shared" si="22"/>
        <v>0</v>
      </c>
      <c r="J472" s="22">
        <f t="shared" si="23"/>
        <v>0</v>
      </c>
      <c r="K472" s="22"/>
    </row>
    <row r="473" spans="1:11" x14ac:dyDescent="0.2">
      <c r="A473" s="15">
        <v>467</v>
      </c>
      <c r="B473" s="20">
        <v>1690</v>
      </c>
      <c r="C473" s="21" t="s">
        <v>179</v>
      </c>
      <c r="D473" s="22">
        <v>9818.7318599999999</v>
      </c>
      <c r="E473" s="22">
        <f t="shared" si="21"/>
        <v>9818.7318599999999</v>
      </c>
      <c r="F473" s="22">
        <v>69734.350659999996</v>
      </c>
      <c r="G473" s="22">
        <v>181466.08265999999</v>
      </c>
      <c r="H473" s="22">
        <v>74256.043990000006</v>
      </c>
      <c r="I473" s="22">
        <f t="shared" si="22"/>
        <v>325456.47730999999</v>
      </c>
      <c r="J473" s="22">
        <f t="shared" si="23"/>
        <v>335275.20916999999</v>
      </c>
      <c r="K473" s="22">
        <v>3507.1830300000001</v>
      </c>
    </row>
    <row r="474" spans="1:11" x14ac:dyDescent="0.2">
      <c r="A474" s="15">
        <v>468</v>
      </c>
      <c r="B474" s="20">
        <v>169005</v>
      </c>
      <c r="C474" s="21" t="s">
        <v>180</v>
      </c>
      <c r="D474" s="22">
        <v>175.61668</v>
      </c>
      <c r="E474" s="22">
        <f t="shared" si="21"/>
        <v>175.61668</v>
      </c>
      <c r="F474" s="22">
        <v>558.71587</v>
      </c>
      <c r="G474" s="22">
        <v>1469.45046</v>
      </c>
      <c r="H474" s="22">
        <v>675.11559</v>
      </c>
      <c r="I474" s="22">
        <f t="shared" si="22"/>
        <v>2703.2819199999999</v>
      </c>
      <c r="J474" s="22">
        <f t="shared" si="23"/>
        <v>2878.8986</v>
      </c>
      <c r="K474" s="22">
        <v>400.95681000000002</v>
      </c>
    </row>
    <row r="475" spans="1:11" x14ac:dyDescent="0.2">
      <c r="A475" s="15">
        <v>469</v>
      </c>
      <c r="B475" s="20">
        <v>169010</v>
      </c>
      <c r="C475" s="21" t="s">
        <v>181</v>
      </c>
      <c r="D475" s="22">
        <v>0</v>
      </c>
      <c r="E475" s="22">
        <f t="shared" si="21"/>
        <v>0</v>
      </c>
      <c r="F475" s="22">
        <v>28.719860000000001</v>
      </c>
      <c r="G475" s="22">
        <v>5.2787899999999999</v>
      </c>
      <c r="H475" s="22">
        <v>0</v>
      </c>
      <c r="I475" s="22">
        <f t="shared" si="22"/>
        <v>33.998649999999998</v>
      </c>
      <c r="J475" s="22">
        <f t="shared" si="23"/>
        <v>33.998649999999998</v>
      </c>
      <c r="K475" s="22">
        <v>0</v>
      </c>
    </row>
    <row r="476" spans="1:11" x14ac:dyDescent="0.2">
      <c r="A476" s="15">
        <v>470</v>
      </c>
      <c r="B476" s="20">
        <v>169015</v>
      </c>
      <c r="C476" s="21" t="s">
        <v>182</v>
      </c>
      <c r="D476" s="22"/>
      <c r="E476" s="22">
        <f t="shared" si="21"/>
        <v>0</v>
      </c>
      <c r="F476" s="22"/>
      <c r="G476" s="22"/>
      <c r="H476" s="22"/>
      <c r="I476" s="22">
        <f t="shared" si="22"/>
        <v>0</v>
      </c>
      <c r="J476" s="22">
        <f t="shared" si="23"/>
        <v>0</v>
      </c>
      <c r="K476" s="22"/>
    </row>
    <row r="477" spans="1:11" x14ac:dyDescent="0.2">
      <c r="A477" s="15">
        <v>471</v>
      </c>
      <c r="B477" s="20">
        <v>169020</v>
      </c>
      <c r="C477" s="21" t="s">
        <v>183</v>
      </c>
      <c r="D477" s="22">
        <v>0</v>
      </c>
      <c r="E477" s="22">
        <f t="shared" si="21"/>
        <v>0</v>
      </c>
      <c r="F477" s="22">
        <v>0</v>
      </c>
      <c r="G477" s="22">
        <v>0</v>
      </c>
      <c r="H477" s="22">
        <v>132.96236999999999</v>
      </c>
      <c r="I477" s="22">
        <f t="shared" si="22"/>
        <v>132.96236999999999</v>
      </c>
      <c r="J477" s="22">
        <f t="shared" si="23"/>
        <v>132.96236999999999</v>
      </c>
      <c r="K477" s="22">
        <v>0</v>
      </c>
    </row>
    <row r="478" spans="1:11" x14ac:dyDescent="0.2">
      <c r="A478" s="15">
        <v>472</v>
      </c>
      <c r="B478" s="20">
        <v>169025</v>
      </c>
      <c r="C478" s="21" t="s">
        <v>184</v>
      </c>
      <c r="D478" s="22"/>
      <c r="E478" s="22">
        <f t="shared" si="21"/>
        <v>0</v>
      </c>
      <c r="F478" s="22"/>
      <c r="G478" s="22"/>
      <c r="H478" s="22"/>
      <c r="I478" s="22">
        <f t="shared" si="22"/>
        <v>0</v>
      </c>
      <c r="J478" s="22">
        <f t="shared" si="23"/>
        <v>0</v>
      </c>
      <c r="K478" s="22"/>
    </row>
    <row r="479" spans="1:11" x14ac:dyDescent="0.2">
      <c r="A479" s="15">
        <v>473</v>
      </c>
      <c r="B479" s="20">
        <v>169030</v>
      </c>
      <c r="C479" s="21" t="s">
        <v>185</v>
      </c>
      <c r="D479" s="22">
        <v>2696.03818</v>
      </c>
      <c r="E479" s="22">
        <f t="shared" si="21"/>
        <v>2696.03818</v>
      </c>
      <c r="F479" s="22">
        <v>0</v>
      </c>
      <c r="G479" s="22">
        <v>0</v>
      </c>
      <c r="H479" s="22">
        <v>63284.985289999997</v>
      </c>
      <c r="I479" s="22">
        <f t="shared" si="22"/>
        <v>63284.985289999997</v>
      </c>
      <c r="J479" s="22">
        <f t="shared" si="23"/>
        <v>65981.02347</v>
      </c>
      <c r="K479" s="22">
        <v>0</v>
      </c>
    </row>
    <row r="480" spans="1:11" x14ac:dyDescent="0.2">
      <c r="A480" s="15">
        <v>474</v>
      </c>
      <c r="B480" s="20">
        <v>169035</v>
      </c>
      <c r="C480" s="21" t="s">
        <v>186</v>
      </c>
      <c r="D480" s="22">
        <v>38.502049999999997</v>
      </c>
      <c r="E480" s="22">
        <f t="shared" si="21"/>
        <v>38.502049999999997</v>
      </c>
      <c r="F480" s="22">
        <v>0</v>
      </c>
      <c r="G480" s="22">
        <v>1E-3</v>
      </c>
      <c r="H480" s="22">
        <v>0</v>
      </c>
      <c r="I480" s="22">
        <f t="shared" si="22"/>
        <v>1E-3</v>
      </c>
      <c r="J480" s="22">
        <f t="shared" si="23"/>
        <v>38.503049999999995</v>
      </c>
      <c r="K480" s="22">
        <v>0</v>
      </c>
    </row>
    <row r="481" spans="1:11" x14ac:dyDescent="0.2">
      <c r="A481" s="15">
        <v>475</v>
      </c>
      <c r="B481" s="20">
        <v>169090</v>
      </c>
      <c r="C481" s="21" t="s">
        <v>157</v>
      </c>
      <c r="D481" s="22">
        <v>6908.5749500000002</v>
      </c>
      <c r="E481" s="22">
        <f t="shared" si="21"/>
        <v>6908.5749500000002</v>
      </c>
      <c r="F481" s="22">
        <v>69146.914929999999</v>
      </c>
      <c r="G481" s="22">
        <v>179991.35240999999</v>
      </c>
      <c r="H481" s="22">
        <v>10162.980740000001</v>
      </c>
      <c r="I481" s="22">
        <f t="shared" si="22"/>
        <v>259301.24807999999</v>
      </c>
      <c r="J481" s="22">
        <f t="shared" si="23"/>
        <v>266209.82302999997</v>
      </c>
      <c r="K481" s="22">
        <v>3106.22622</v>
      </c>
    </row>
    <row r="482" spans="1:11" x14ac:dyDescent="0.2">
      <c r="A482" s="15">
        <v>476</v>
      </c>
      <c r="B482" s="20">
        <v>1699</v>
      </c>
      <c r="C482" s="21" t="s">
        <v>187</v>
      </c>
      <c r="D482" s="22">
        <v>-7772.1702699999996</v>
      </c>
      <c r="E482" s="22">
        <f t="shared" si="21"/>
        <v>-7772.1702699999996</v>
      </c>
      <c r="F482" s="22">
        <v>-908.53111000000001</v>
      </c>
      <c r="G482" s="22">
        <v>-6822.6737700000003</v>
      </c>
      <c r="H482" s="22">
        <v>-22473.845420000001</v>
      </c>
      <c r="I482" s="22">
        <f t="shared" si="22"/>
        <v>-30205.050300000003</v>
      </c>
      <c r="J482" s="22">
        <f t="shared" si="23"/>
        <v>-37977.220570000005</v>
      </c>
      <c r="K482" s="22">
        <v>-1233.9517599999999</v>
      </c>
    </row>
    <row r="483" spans="1:11" x14ac:dyDescent="0.2">
      <c r="A483" s="15">
        <v>477</v>
      </c>
      <c r="B483" s="20">
        <v>169905</v>
      </c>
      <c r="C483" s="21" t="s">
        <v>188</v>
      </c>
      <c r="D483" s="22">
        <v>-51.364899999999999</v>
      </c>
      <c r="E483" s="22">
        <f t="shared" si="21"/>
        <v>-51.364899999999999</v>
      </c>
      <c r="F483" s="22">
        <v>-3.6362399999999999</v>
      </c>
      <c r="G483" s="22">
        <v>-3815.42218</v>
      </c>
      <c r="H483" s="22">
        <v>-2299.3134</v>
      </c>
      <c r="I483" s="22">
        <f t="shared" si="22"/>
        <v>-6118.3718200000003</v>
      </c>
      <c r="J483" s="22">
        <f t="shared" si="23"/>
        <v>-6169.7367199999999</v>
      </c>
      <c r="K483" s="22">
        <v>0</v>
      </c>
    </row>
    <row r="484" spans="1:11" x14ac:dyDescent="0.2">
      <c r="A484" s="15">
        <v>478</v>
      </c>
      <c r="B484" s="20">
        <v>169910</v>
      </c>
      <c r="C484" s="21" t="s">
        <v>189</v>
      </c>
      <c r="D484" s="22">
        <v>-7720.80537</v>
      </c>
      <c r="E484" s="22">
        <f t="shared" si="21"/>
        <v>-7720.80537</v>
      </c>
      <c r="F484" s="22">
        <v>-904.89486999999997</v>
      </c>
      <c r="G484" s="22">
        <v>-3007.2515899999999</v>
      </c>
      <c r="H484" s="22">
        <v>-20174.532019999999</v>
      </c>
      <c r="I484" s="22">
        <f t="shared" si="22"/>
        <v>-24086.678479999999</v>
      </c>
      <c r="J484" s="22">
        <f t="shared" si="23"/>
        <v>-31807.483849999997</v>
      </c>
      <c r="K484" s="22">
        <v>-1233.9517599999999</v>
      </c>
    </row>
    <row r="485" spans="1:11" x14ac:dyDescent="0.2">
      <c r="A485" s="15">
        <v>479</v>
      </c>
      <c r="B485" s="20">
        <v>17</v>
      </c>
      <c r="C485" s="21" t="s">
        <v>190</v>
      </c>
      <c r="D485" s="22">
        <v>23015.34547</v>
      </c>
      <c r="E485" s="22">
        <f t="shared" si="21"/>
        <v>23015.34547</v>
      </c>
      <c r="F485" s="22">
        <v>6706.2979800000003</v>
      </c>
      <c r="G485" s="22">
        <v>2139.7321299999999</v>
      </c>
      <c r="H485" s="22">
        <v>10645.76331</v>
      </c>
      <c r="I485" s="22">
        <f t="shared" si="22"/>
        <v>19491.793420000002</v>
      </c>
      <c r="J485" s="22">
        <f t="shared" si="23"/>
        <v>42507.138890000002</v>
      </c>
      <c r="K485" s="22">
        <v>0</v>
      </c>
    </row>
    <row r="486" spans="1:11" x14ac:dyDescent="0.2">
      <c r="A486" s="15">
        <v>480</v>
      </c>
      <c r="B486" s="20">
        <v>1701</v>
      </c>
      <c r="C486" s="21" t="s">
        <v>191</v>
      </c>
      <c r="D486" s="22">
        <v>20888.146720000001</v>
      </c>
      <c r="E486" s="22">
        <f t="shared" si="21"/>
        <v>20888.146720000001</v>
      </c>
      <c r="F486" s="22"/>
      <c r="G486" s="22"/>
      <c r="H486" s="22"/>
      <c r="I486" s="22">
        <f t="shared" si="22"/>
        <v>0</v>
      </c>
      <c r="J486" s="22">
        <f t="shared" si="23"/>
        <v>20888.146720000001</v>
      </c>
      <c r="K486" s="22"/>
    </row>
    <row r="487" spans="1:11" x14ac:dyDescent="0.2">
      <c r="A487" s="15">
        <v>481</v>
      </c>
      <c r="B487" s="20">
        <v>170105</v>
      </c>
      <c r="C487" s="21" t="s">
        <v>192</v>
      </c>
      <c r="D487" s="22">
        <v>16538.314839999999</v>
      </c>
      <c r="E487" s="22">
        <f t="shared" si="21"/>
        <v>16538.314839999999</v>
      </c>
      <c r="F487" s="22"/>
      <c r="G487" s="22"/>
      <c r="H487" s="22"/>
      <c r="I487" s="22">
        <f t="shared" si="22"/>
        <v>0</v>
      </c>
      <c r="J487" s="22">
        <f t="shared" si="23"/>
        <v>16538.314839999999</v>
      </c>
      <c r="K487" s="22"/>
    </row>
    <row r="488" spans="1:11" x14ac:dyDescent="0.2">
      <c r="A488" s="15">
        <v>482</v>
      </c>
      <c r="B488" s="20">
        <v>170110</v>
      </c>
      <c r="C488" s="21" t="s">
        <v>193</v>
      </c>
      <c r="D488" s="22">
        <v>470.5403</v>
      </c>
      <c r="E488" s="22">
        <f t="shared" si="21"/>
        <v>470.5403</v>
      </c>
      <c r="F488" s="22"/>
      <c r="G488" s="22"/>
      <c r="H488" s="22"/>
      <c r="I488" s="22">
        <f t="shared" si="22"/>
        <v>0</v>
      </c>
      <c r="J488" s="22">
        <f t="shared" si="23"/>
        <v>470.5403</v>
      </c>
      <c r="K488" s="22"/>
    </row>
    <row r="489" spans="1:11" x14ac:dyDescent="0.2">
      <c r="A489" s="15">
        <v>483</v>
      </c>
      <c r="B489" s="20">
        <v>170115</v>
      </c>
      <c r="C489" s="21" t="s">
        <v>194</v>
      </c>
      <c r="D489" s="22">
        <v>3708.1499399999998</v>
      </c>
      <c r="E489" s="22">
        <f t="shared" si="21"/>
        <v>3708.1499399999998</v>
      </c>
      <c r="F489" s="22"/>
      <c r="G489" s="22"/>
      <c r="H489" s="22"/>
      <c r="I489" s="22">
        <f t="shared" si="22"/>
        <v>0</v>
      </c>
      <c r="J489" s="22">
        <f t="shared" si="23"/>
        <v>3708.1499399999998</v>
      </c>
      <c r="K489" s="22"/>
    </row>
    <row r="490" spans="1:11" x14ac:dyDescent="0.2">
      <c r="A490" s="15">
        <v>484</v>
      </c>
      <c r="B490" s="20">
        <v>170120</v>
      </c>
      <c r="C490" s="21" t="s">
        <v>195</v>
      </c>
      <c r="D490" s="22">
        <v>171.14164</v>
      </c>
      <c r="E490" s="22">
        <f t="shared" si="21"/>
        <v>171.14164</v>
      </c>
      <c r="F490" s="22"/>
      <c r="G490" s="22"/>
      <c r="H490" s="22"/>
      <c r="I490" s="22">
        <f t="shared" si="22"/>
        <v>0</v>
      </c>
      <c r="J490" s="22">
        <f t="shared" si="23"/>
        <v>171.14164</v>
      </c>
      <c r="K490" s="22"/>
    </row>
    <row r="491" spans="1:11" x14ac:dyDescent="0.2">
      <c r="A491" s="15">
        <v>485</v>
      </c>
      <c r="B491" s="20">
        <v>1702</v>
      </c>
      <c r="C491" s="21" t="s">
        <v>196</v>
      </c>
      <c r="D491" s="22">
        <v>613.54807000000005</v>
      </c>
      <c r="E491" s="22">
        <f t="shared" si="21"/>
        <v>613.54807000000005</v>
      </c>
      <c r="F491" s="22">
        <v>26.138200000000001</v>
      </c>
      <c r="G491" s="22">
        <v>38.13879</v>
      </c>
      <c r="H491" s="22">
        <v>18327.920549999999</v>
      </c>
      <c r="I491" s="22">
        <f t="shared" si="22"/>
        <v>18392.197539999997</v>
      </c>
      <c r="J491" s="22">
        <f t="shared" si="23"/>
        <v>19005.745609999998</v>
      </c>
      <c r="K491" s="22">
        <v>0</v>
      </c>
    </row>
    <row r="492" spans="1:11" x14ac:dyDescent="0.2">
      <c r="A492" s="15">
        <v>486</v>
      </c>
      <c r="B492" s="20">
        <v>170205</v>
      </c>
      <c r="C492" s="21" t="s">
        <v>192</v>
      </c>
      <c r="D492" s="22">
        <v>293.45186000000001</v>
      </c>
      <c r="E492" s="22">
        <f t="shared" si="21"/>
        <v>293.45186000000001</v>
      </c>
      <c r="F492" s="22">
        <v>0</v>
      </c>
      <c r="G492" s="22">
        <v>0</v>
      </c>
      <c r="H492" s="22">
        <v>9819.6736400000009</v>
      </c>
      <c r="I492" s="22">
        <f t="shared" si="22"/>
        <v>9819.6736400000009</v>
      </c>
      <c r="J492" s="22">
        <f t="shared" si="23"/>
        <v>10113.1255</v>
      </c>
      <c r="K492" s="22">
        <v>0</v>
      </c>
    </row>
    <row r="493" spans="1:11" x14ac:dyDescent="0.2">
      <c r="A493" s="15">
        <v>487</v>
      </c>
      <c r="B493" s="20">
        <v>170210</v>
      </c>
      <c r="C493" s="21" t="s">
        <v>197</v>
      </c>
      <c r="D493" s="22">
        <v>320.09620999999999</v>
      </c>
      <c r="E493" s="22">
        <f t="shared" si="21"/>
        <v>320.09620999999999</v>
      </c>
      <c r="F493" s="22">
        <v>0</v>
      </c>
      <c r="G493" s="22">
        <v>38.010530000000003</v>
      </c>
      <c r="H493" s="22">
        <v>4546.5676100000001</v>
      </c>
      <c r="I493" s="22">
        <f t="shared" si="22"/>
        <v>4584.5781399999996</v>
      </c>
      <c r="J493" s="22">
        <f t="shared" si="23"/>
        <v>4904.6743499999993</v>
      </c>
      <c r="K493" s="22">
        <v>0</v>
      </c>
    </row>
    <row r="494" spans="1:11" x14ac:dyDescent="0.2">
      <c r="A494" s="15">
        <v>488</v>
      </c>
      <c r="B494" s="20">
        <v>170215</v>
      </c>
      <c r="C494" s="21" t="s">
        <v>198</v>
      </c>
      <c r="D494" s="22"/>
      <c r="E494" s="22">
        <f t="shared" si="21"/>
        <v>0</v>
      </c>
      <c r="F494" s="22"/>
      <c r="G494" s="22">
        <v>0.12826000000000001</v>
      </c>
      <c r="H494" s="22">
        <v>194.06576000000001</v>
      </c>
      <c r="I494" s="22">
        <f t="shared" si="22"/>
        <v>194.19402000000002</v>
      </c>
      <c r="J494" s="22">
        <f t="shared" si="23"/>
        <v>194.19402000000002</v>
      </c>
      <c r="K494" s="22">
        <v>0</v>
      </c>
    </row>
    <row r="495" spans="1:11" x14ac:dyDescent="0.2">
      <c r="A495" s="15">
        <v>489</v>
      </c>
      <c r="B495" s="20">
        <v>170220</v>
      </c>
      <c r="C495" s="21" t="s">
        <v>199</v>
      </c>
      <c r="D495" s="22"/>
      <c r="E495" s="22">
        <f t="shared" si="21"/>
        <v>0</v>
      </c>
      <c r="F495" s="22"/>
      <c r="G495" s="22">
        <v>0</v>
      </c>
      <c r="H495" s="22">
        <v>0</v>
      </c>
      <c r="I495" s="22">
        <f t="shared" si="22"/>
        <v>0</v>
      </c>
      <c r="J495" s="22">
        <f t="shared" si="23"/>
        <v>0</v>
      </c>
      <c r="K495" s="22">
        <v>0</v>
      </c>
    </row>
    <row r="496" spans="1:11" x14ac:dyDescent="0.2">
      <c r="A496" s="15">
        <v>490</v>
      </c>
      <c r="B496" s="20">
        <v>170225</v>
      </c>
      <c r="C496" s="21" t="s">
        <v>200</v>
      </c>
      <c r="D496" s="22"/>
      <c r="E496" s="22">
        <f t="shared" si="21"/>
        <v>0</v>
      </c>
      <c r="F496" s="22">
        <v>0</v>
      </c>
      <c r="G496" s="22">
        <v>0</v>
      </c>
      <c r="H496" s="22">
        <v>309.61509000000001</v>
      </c>
      <c r="I496" s="22">
        <f t="shared" si="22"/>
        <v>309.61509000000001</v>
      </c>
      <c r="J496" s="22">
        <f t="shared" si="23"/>
        <v>309.61509000000001</v>
      </c>
      <c r="K496" s="22">
        <v>0</v>
      </c>
    </row>
    <row r="497" spans="1:11" x14ac:dyDescent="0.2">
      <c r="A497" s="15">
        <v>491</v>
      </c>
      <c r="B497" s="20">
        <v>170230</v>
      </c>
      <c r="C497" s="21" t="s">
        <v>201</v>
      </c>
      <c r="D497" s="22"/>
      <c r="E497" s="22">
        <f t="shared" si="21"/>
        <v>0</v>
      </c>
      <c r="F497" s="22">
        <v>0</v>
      </c>
      <c r="G497" s="22">
        <v>0</v>
      </c>
      <c r="H497" s="22">
        <v>0</v>
      </c>
      <c r="I497" s="22">
        <f t="shared" si="22"/>
        <v>0</v>
      </c>
      <c r="J497" s="22">
        <f t="shared" si="23"/>
        <v>0</v>
      </c>
      <c r="K497" s="22"/>
    </row>
    <row r="498" spans="1:11" x14ac:dyDescent="0.2">
      <c r="A498" s="15">
        <v>492</v>
      </c>
      <c r="B498" s="20">
        <v>170235</v>
      </c>
      <c r="C498" s="21" t="s">
        <v>202</v>
      </c>
      <c r="D498" s="22"/>
      <c r="E498" s="22">
        <f t="shared" si="21"/>
        <v>0</v>
      </c>
      <c r="F498" s="22"/>
      <c r="G498" s="22">
        <v>0</v>
      </c>
      <c r="H498" s="22">
        <v>0</v>
      </c>
      <c r="I498" s="22">
        <f t="shared" si="22"/>
        <v>0</v>
      </c>
      <c r="J498" s="22">
        <f t="shared" si="23"/>
        <v>0</v>
      </c>
      <c r="K498" s="22"/>
    </row>
    <row r="499" spans="1:11" x14ac:dyDescent="0.2">
      <c r="A499" s="15">
        <v>493</v>
      </c>
      <c r="B499" s="20">
        <v>170240</v>
      </c>
      <c r="C499" s="21" t="s">
        <v>203</v>
      </c>
      <c r="D499" s="22"/>
      <c r="E499" s="22">
        <f t="shared" si="21"/>
        <v>0</v>
      </c>
      <c r="F499" s="22"/>
      <c r="G499" s="22"/>
      <c r="H499" s="22"/>
      <c r="I499" s="22">
        <f t="shared" si="22"/>
        <v>0</v>
      </c>
      <c r="J499" s="22">
        <f t="shared" si="23"/>
        <v>0</v>
      </c>
      <c r="K499" s="22"/>
    </row>
    <row r="500" spans="1:11" x14ac:dyDescent="0.2">
      <c r="A500" s="15">
        <v>494</v>
      </c>
      <c r="B500" s="20">
        <v>170245</v>
      </c>
      <c r="C500" s="21" t="s">
        <v>204</v>
      </c>
      <c r="D500" s="22"/>
      <c r="E500" s="22">
        <f t="shared" si="21"/>
        <v>0</v>
      </c>
      <c r="F500" s="22"/>
      <c r="G500" s="22"/>
      <c r="H500" s="22"/>
      <c r="I500" s="22">
        <f t="shared" si="22"/>
        <v>0</v>
      </c>
      <c r="J500" s="22">
        <f t="shared" si="23"/>
        <v>0</v>
      </c>
      <c r="K500" s="22"/>
    </row>
    <row r="501" spans="1:11" x14ac:dyDescent="0.2">
      <c r="A501" s="15">
        <v>495</v>
      </c>
      <c r="B501" s="20">
        <v>170290</v>
      </c>
      <c r="C501" s="21" t="s">
        <v>58</v>
      </c>
      <c r="D501" s="22">
        <v>0</v>
      </c>
      <c r="E501" s="22">
        <f t="shared" si="21"/>
        <v>0</v>
      </c>
      <c r="F501" s="22">
        <v>26.138200000000001</v>
      </c>
      <c r="G501" s="22">
        <v>0</v>
      </c>
      <c r="H501" s="22">
        <v>39.439</v>
      </c>
      <c r="I501" s="22">
        <f t="shared" si="22"/>
        <v>65.577200000000005</v>
      </c>
      <c r="J501" s="22">
        <f t="shared" si="23"/>
        <v>65.577200000000005</v>
      </c>
      <c r="K501" s="22">
        <v>0</v>
      </c>
    </row>
    <row r="502" spans="1:11" x14ac:dyDescent="0.2">
      <c r="A502" s="15">
        <v>496</v>
      </c>
      <c r="B502" s="20">
        <v>1703</v>
      </c>
      <c r="C502" s="21" t="s">
        <v>205</v>
      </c>
      <c r="D502" s="22"/>
      <c r="E502" s="22">
        <f t="shared" si="21"/>
        <v>0</v>
      </c>
      <c r="F502" s="22"/>
      <c r="G502" s="22">
        <v>0</v>
      </c>
      <c r="H502" s="22">
        <v>0</v>
      </c>
      <c r="I502" s="22">
        <f t="shared" si="22"/>
        <v>0</v>
      </c>
      <c r="J502" s="22">
        <f t="shared" si="23"/>
        <v>0</v>
      </c>
      <c r="K502" s="22"/>
    </row>
    <row r="503" spans="1:11" x14ac:dyDescent="0.2">
      <c r="A503" s="15">
        <v>497</v>
      </c>
      <c r="B503" s="20">
        <v>170305</v>
      </c>
      <c r="C503" s="21" t="s">
        <v>206</v>
      </c>
      <c r="D503" s="22"/>
      <c r="E503" s="22">
        <f t="shared" si="21"/>
        <v>0</v>
      </c>
      <c r="F503" s="22"/>
      <c r="G503" s="22">
        <v>0</v>
      </c>
      <c r="H503" s="22">
        <v>0</v>
      </c>
      <c r="I503" s="22">
        <f t="shared" si="22"/>
        <v>0</v>
      </c>
      <c r="J503" s="22">
        <f t="shared" si="23"/>
        <v>0</v>
      </c>
      <c r="K503" s="22"/>
    </row>
    <row r="504" spans="1:11" x14ac:dyDescent="0.2">
      <c r="A504" s="15">
        <v>498</v>
      </c>
      <c r="B504" s="20">
        <v>170310</v>
      </c>
      <c r="C504" s="21" t="s">
        <v>207</v>
      </c>
      <c r="D504" s="22"/>
      <c r="E504" s="22">
        <f t="shared" si="21"/>
        <v>0</v>
      </c>
      <c r="F504" s="22"/>
      <c r="G504" s="22">
        <v>0</v>
      </c>
      <c r="H504" s="22">
        <v>0</v>
      </c>
      <c r="I504" s="22">
        <f t="shared" si="22"/>
        <v>0</v>
      </c>
      <c r="J504" s="22">
        <f t="shared" si="23"/>
        <v>0</v>
      </c>
      <c r="K504" s="22"/>
    </row>
    <row r="505" spans="1:11" x14ac:dyDescent="0.2">
      <c r="A505" s="15">
        <v>499</v>
      </c>
      <c r="B505" s="20">
        <v>1704</v>
      </c>
      <c r="C505" s="21" t="s">
        <v>208</v>
      </c>
      <c r="D505" s="22"/>
      <c r="E505" s="22">
        <f t="shared" si="21"/>
        <v>0</v>
      </c>
      <c r="F505" s="22"/>
      <c r="G505" s="22">
        <v>0</v>
      </c>
      <c r="H505" s="22">
        <v>0</v>
      </c>
      <c r="I505" s="22">
        <f t="shared" si="22"/>
        <v>0</v>
      </c>
      <c r="J505" s="22">
        <f t="shared" si="23"/>
        <v>0</v>
      </c>
      <c r="K505" s="22"/>
    </row>
    <row r="506" spans="1:11" x14ac:dyDescent="0.2">
      <c r="A506" s="15">
        <v>500</v>
      </c>
      <c r="B506" s="20">
        <v>170405</v>
      </c>
      <c r="C506" s="21" t="s">
        <v>209</v>
      </c>
      <c r="D506" s="22"/>
      <c r="E506" s="22">
        <f t="shared" si="21"/>
        <v>0</v>
      </c>
      <c r="F506" s="22"/>
      <c r="G506" s="22"/>
      <c r="H506" s="22">
        <v>0</v>
      </c>
      <c r="I506" s="22">
        <f t="shared" si="22"/>
        <v>0</v>
      </c>
      <c r="J506" s="22">
        <f t="shared" si="23"/>
        <v>0</v>
      </c>
      <c r="K506" s="22"/>
    </row>
    <row r="507" spans="1:11" x14ac:dyDescent="0.2">
      <c r="A507" s="15">
        <v>501</v>
      </c>
      <c r="B507" s="20">
        <v>170410</v>
      </c>
      <c r="C507" s="21" t="s">
        <v>210</v>
      </c>
      <c r="D507" s="22"/>
      <c r="E507" s="22">
        <f t="shared" si="21"/>
        <v>0</v>
      </c>
      <c r="F507" s="22"/>
      <c r="G507" s="22">
        <v>0</v>
      </c>
      <c r="H507" s="22">
        <v>0</v>
      </c>
      <c r="I507" s="22">
        <f t="shared" si="22"/>
        <v>0</v>
      </c>
      <c r="J507" s="22">
        <f t="shared" si="23"/>
        <v>0</v>
      </c>
      <c r="K507" s="22"/>
    </row>
    <row r="508" spans="1:11" x14ac:dyDescent="0.2">
      <c r="A508" s="15">
        <v>502</v>
      </c>
      <c r="B508" s="20">
        <v>170415</v>
      </c>
      <c r="C508" s="21" t="s">
        <v>211</v>
      </c>
      <c r="D508" s="22"/>
      <c r="E508" s="22">
        <f t="shared" si="21"/>
        <v>0</v>
      </c>
      <c r="F508" s="22"/>
      <c r="G508" s="22">
        <v>0</v>
      </c>
      <c r="H508" s="22">
        <v>0</v>
      </c>
      <c r="I508" s="22">
        <f t="shared" si="22"/>
        <v>0</v>
      </c>
      <c r="J508" s="22">
        <f t="shared" si="23"/>
        <v>0</v>
      </c>
      <c r="K508" s="22"/>
    </row>
    <row r="509" spans="1:11" x14ac:dyDescent="0.2">
      <c r="A509" s="15">
        <v>503</v>
      </c>
      <c r="B509" s="20">
        <v>170420</v>
      </c>
      <c r="C509" s="21" t="s">
        <v>199</v>
      </c>
      <c r="D509" s="22"/>
      <c r="E509" s="22">
        <f t="shared" si="21"/>
        <v>0</v>
      </c>
      <c r="F509" s="22"/>
      <c r="G509" s="22">
        <v>0</v>
      </c>
      <c r="H509" s="22">
        <v>0</v>
      </c>
      <c r="I509" s="22">
        <f t="shared" si="22"/>
        <v>0</v>
      </c>
      <c r="J509" s="22">
        <f t="shared" si="23"/>
        <v>0</v>
      </c>
      <c r="K509" s="22"/>
    </row>
    <row r="510" spans="1:11" x14ac:dyDescent="0.2">
      <c r="A510" s="15">
        <v>504</v>
      </c>
      <c r="B510" s="20">
        <v>170425</v>
      </c>
      <c r="C510" s="21" t="s">
        <v>212</v>
      </c>
      <c r="D510" s="22"/>
      <c r="E510" s="22">
        <f t="shared" si="21"/>
        <v>0</v>
      </c>
      <c r="F510" s="22"/>
      <c r="G510" s="22"/>
      <c r="H510" s="22">
        <v>0</v>
      </c>
      <c r="I510" s="22">
        <f t="shared" si="22"/>
        <v>0</v>
      </c>
      <c r="J510" s="22">
        <f t="shared" si="23"/>
        <v>0</v>
      </c>
      <c r="K510" s="22"/>
    </row>
    <row r="511" spans="1:11" x14ac:dyDescent="0.2">
      <c r="A511" s="15">
        <v>505</v>
      </c>
      <c r="B511" s="20">
        <v>170430</v>
      </c>
      <c r="C511" s="21" t="s">
        <v>213</v>
      </c>
      <c r="D511" s="22"/>
      <c r="E511" s="22">
        <f t="shared" si="21"/>
        <v>0</v>
      </c>
      <c r="F511" s="22"/>
      <c r="G511" s="22">
        <v>0</v>
      </c>
      <c r="H511" s="22">
        <v>0</v>
      </c>
      <c r="I511" s="22">
        <f t="shared" si="22"/>
        <v>0</v>
      </c>
      <c r="J511" s="22">
        <f t="shared" si="23"/>
        <v>0</v>
      </c>
      <c r="K511" s="22"/>
    </row>
    <row r="512" spans="1:11" x14ac:dyDescent="0.2">
      <c r="A512" s="15">
        <v>506</v>
      </c>
      <c r="B512" s="20">
        <v>170490</v>
      </c>
      <c r="C512" s="21" t="s">
        <v>58</v>
      </c>
      <c r="D512" s="22"/>
      <c r="E512" s="22">
        <f t="shared" si="21"/>
        <v>0</v>
      </c>
      <c r="F512" s="22"/>
      <c r="G512" s="22">
        <v>0</v>
      </c>
      <c r="H512" s="22">
        <v>0</v>
      </c>
      <c r="I512" s="22">
        <f t="shared" si="22"/>
        <v>0</v>
      </c>
      <c r="J512" s="22">
        <f t="shared" si="23"/>
        <v>0</v>
      </c>
      <c r="K512" s="22"/>
    </row>
    <row r="513" spans="1:11" x14ac:dyDescent="0.2">
      <c r="A513" s="15">
        <v>507</v>
      </c>
      <c r="B513" s="20">
        <v>1705</v>
      </c>
      <c r="C513" s="21" t="s">
        <v>214</v>
      </c>
      <c r="D513" s="22">
        <v>0</v>
      </c>
      <c r="E513" s="22">
        <f t="shared" si="21"/>
        <v>0</v>
      </c>
      <c r="F513" s="22">
        <v>0</v>
      </c>
      <c r="G513" s="22">
        <v>0</v>
      </c>
      <c r="H513" s="22">
        <v>1E-3</v>
      </c>
      <c r="I513" s="22">
        <f t="shared" si="22"/>
        <v>1E-3</v>
      </c>
      <c r="J513" s="22">
        <f t="shared" si="23"/>
        <v>1E-3</v>
      </c>
      <c r="K513" s="22">
        <v>0</v>
      </c>
    </row>
    <row r="514" spans="1:11" x14ac:dyDescent="0.2">
      <c r="A514" s="15">
        <v>508</v>
      </c>
      <c r="B514" s="20">
        <v>170505</v>
      </c>
      <c r="C514" s="21" t="s">
        <v>209</v>
      </c>
      <c r="D514" s="22">
        <v>0</v>
      </c>
      <c r="E514" s="22">
        <f t="shared" si="21"/>
        <v>0</v>
      </c>
      <c r="F514" s="22">
        <v>0</v>
      </c>
      <c r="G514" s="22">
        <v>0</v>
      </c>
      <c r="H514" s="22">
        <v>70.941190000000006</v>
      </c>
      <c r="I514" s="22">
        <f t="shared" si="22"/>
        <v>70.941190000000006</v>
      </c>
      <c r="J514" s="22">
        <f t="shared" si="23"/>
        <v>70.941190000000006</v>
      </c>
      <c r="K514" s="22">
        <v>0</v>
      </c>
    </row>
    <row r="515" spans="1:11" x14ac:dyDescent="0.2">
      <c r="A515" s="15">
        <v>509</v>
      </c>
      <c r="B515" s="20">
        <v>170510</v>
      </c>
      <c r="C515" s="21" t="s">
        <v>210</v>
      </c>
      <c r="D515" s="22">
        <v>0</v>
      </c>
      <c r="E515" s="22">
        <f t="shared" si="21"/>
        <v>0</v>
      </c>
      <c r="F515" s="22">
        <v>0</v>
      </c>
      <c r="G515" s="22">
        <v>0</v>
      </c>
      <c r="H515" s="22">
        <v>0</v>
      </c>
      <c r="I515" s="22">
        <f t="shared" si="22"/>
        <v>0</v>
      </c>
      <c r="J515" s="22">
        <f t="shared" si="23"/>
        <v>0</v>
      </c>
      <c r="K515" s="22">
        <v>0</v>
      </c>
    </row>
    <row r="516" spans="1:11" x14ac:dyDescent="0.2">
      <c r="A516" s="15">
        <v>510</v>
      </c>
      <c r="B516" s="20">
        <v>170515</v>
      </c>
      <c r="C516" s="21" t="s">
        <v>211</v>
      </c>
      <c r="D516" s="22">
        <v>0</v>
      </c>
      <c r="E516" s="22">
        <f t="shared" si="21"/>
        <v>0</v>
      </c>
      <c r="F516" s="22">
        <v>0</v>
      </c>
      <c r="G516" s="22">
        <v>0</v>
      </c>
      <c r="H516" s="22">
        <v>0</v>
      </c>
      <c r="I516" s="22">
        <f t="shared" si="22"/>
        <v>0</v>
      </c>
      <c r="J516" s="22">
        <f t="shared" si="23"/>
        <v>0</v>
      </c>
      <c r="K516" s="22">
        <v>0</v>
      </c>
    </row>
    <row r="517" spans="1:11" x14ac:dyDescent="0.2">
      <c r="A517" s="15">
        <v>511</v>
      </c>
      <c r="B517" s="20">
        <v>170520</v>
      </c>
      <c r="C517" s="21" t="s">
        <v>199</v>
      </c>
      <c r="D517" s="22">
        <v>0</v>
      </c>
      <c r="E517" s="22">
        <f t="shared" si="21"/>
        <v>0</v>
      </c>
      <c r="F517" s="22">
        <v>0</v>
      </c>
      <c r="G517" s="22">
        <v>0</v>
      </c>
      <c r="H517" s="22">
        <v>0</v>
      </c>
      <c r="I517" s="22">
        <f t="shared" si="22"/>
        <v>0</v>
      </c>
      <c r="J517" s="22">
        <f t="shared" si="23"/>
        <v>0</v>
      </c>
      <c r="K517" s="22">
        <v>0</v>
      </c>
    </row>
    <row r="518" spans="1:11" x14ac:dyDescent="0.2">
      <c r="A518" s="15">
        <v>512</v>
      </c>
      <c r="B518" s="20">
        <v>170525</v>
      </c>
      <c r="C518" s="21" t="s">
        <v>212</v>
      </c>
      <c r="D518" s="22">
        <v>0</v>
      </c>
      <c r="E518" s="22">
        <f t="shared" si="21"/>
        <v>0</v>
      </c>
      <c r="F518" s="22"/>
      <c r="G518" s="22"/>
      <c r="H518" s="22"/>
      <c r="I518" s="22">
        <f t="shared" si="22"/>
        <v>0</v>
      </c>
      <c r="J518" s="22">
        <f t="shared" si="23"/>
        <v>0</v>
      </c>
      <c r="K518" s="22"/>
    </row>
    <row r="519" spans="1:11" x14ac:dyDescent="0.2">
      <c r="A519" s="15">
        <v>513</v>
      </c>
      <c r="B519" s="20">
        <v>170530</v>
      </c>
      <c r="C519" s="21" t="s">
        <v>213</v>
      </c>
      <c r="D519" s="22"/>
      <c r="E519" s="22">
        <f t="shared" si="21"/>
        <v>0</v>
      </c>
      <c r="F519" s="22"/>
      <c r="G519" s="22">
        <v>0</v>
      </c>
      <c r="H519" s="22"/>
      <c r="I519" s="22">
        <f t="shared" si="22"/>
        <v>0</v>
      </c>
      <c r="J519" s="22">
        <f t="shared" si="23"/>
        <v>0</v>
      </c>
      <c r="K519" s="22"/>
    </row>
    <row r="520" spans="1:11" x14ac:dyDescent="0.2">
      <c r="A520" s="15">
        <v>514</v>
      </c>
      <c r="B520" s="20">
        <v>170590</v>
      </c>
      <c r="C520" s="21" t="s">
        <v>58</v>
      </c>
      <c r="D520" s="22">
        <v>0</v>
      </c>
      <c r="E520" s="22">
        <f t="shared" si="21"/>
        <v>0</v>
      </c>
      <c r="F520" s="22">
        <v>0</v>
      </c>
      <c r="G520" s="22">
        <v>0</v>
      </c>
      <c r="H520" s="22">
        <v>0</v>
      </c>
      <c r="I520" s="22">
        <f t="shared" si="22"/>
        <v>0</v>
      </c>
      <c r="J520" s="22">
        <f t="shared" si="23"/>
        <v>0</v>
      </c>
      <c r="K520" s="22">
        <v>0</v>
      </c>
    </row>
    <row r="521" spans="1:11" x14ac:dyDescent="0.2">
      <c r="A521" s="15">
        <v>515</v>
      </c>
      <c r="B521" s="20">
        <v>170599</v>
      </c>
      <c r="C521" s="21" t="s">
        <v>215</v>
      </c>
      <c r="D521" s="22">
        <v>0</v>
      </c>
      <c r="E521" s="22">
        <f t="shared" si="21"/>
        <v>0</v>
      </c>
      <c r="F521" s="22">
        <v>0</v>
      </c>
      <c r="G521" s="22">
        <v>0</v>
      </c>
      <c r="H521" s="22">
        <v>-70.940190000000001</v>
      </c>
      <c r="I521" s="22">
        <f t="shared" si="22"/>
        <v>-70.940190000000001</v>
      </c>
      <c r="J521" s="22">
        <f t="shared" si="23"/>
        <v>-70.940190000000001</v>
      </c>
      <c r="K521" s="22">
        <v>0</v>
      </c>
    </row>
    <row r="522" spans="1:11" x14ac:dyDescent="0.2">
      <c r="A522" s="15">
        <v>516</v>
      </c>
      <c r="B522" s="20">
        <v>1706</v>
      </c>
      <c r="C522" s="21" t="s">
        <v>216</v>
      </c>
      <c r="D522" s="22">
        <v>2269.2907399999999</v>
      </c>
      <c r="E522" s="22">
        <f t="shared" ref="E522:E585" si="24">+D522</f>
        <v>2269.2907399999999</v>
      </c>
      <c r="F522" s="22">
        <v>6706.2979800000003</v>
      </c>
      <c r="G522" s="22">
        <v>2139.7321299999999</v>
      </c>
      <c r="H522" s="22">
        <v>360.92547999999999</v>
      </c>
      <c r="I522" s="22">
        <f t="shared" ref="I522:I585" si="25">+SUM(F522:H522)</f>
        <v>9206.9555899999996</v>
      </c>
      <c r="J522" s="22">
        <f t="shared" ref="J522:J585" si="26">+E522+I522</f>
        <v>11476.24633</v>
      </c>
      <c r="K522" s="22">
        <v>0</v>
      </c>
    </row>
    <row r="523" spans="1:11" x14ac:dyDescent="0.2">
      <c r="A523" s="15">
        <v>517</v>
      </c>
      <c r="B523" s="20">
        <v>170605</v>
      </c>
      <c r="C523" s="21" t="s">
        <v>192</v>
      </c>
      <c r="D523" s="22">
        <v>2300.3304800000001</v>
      </c>
      <c r="E523" s="22">
        <f t="shared" si="24"/>
        <v>2300.3304800000001</v>
      </c>
      <c r="F523" s="22">
        <v>6192.7348300000003</v>
      </c>
      <c r="G523" s="22">
        <v>188.20079999999999</v>
      </c>
      <c r="H523" s="22">
        <v>355.76719000000003</v>
      </c>
      <c r="I523" s="22">
        <f t="shared" si="25"/>
        <v>6736.7028200000004</v>
      </c>
      <c r="J523" s="22">
        <f t="shared" si="26"/>
        <v>9037.033300000001</v>
      </c>
      <c r="K523" s="22">
        <v>0</v>
      </c>
    </row>
    <row r="524" spans="1:11" x14ac:dyDescent="0.2">
      <c r="A524" s="15">
        <v>518</v>
      </c>
      <c r="B524" s="20">
        <v>170610</v>
      </c>
      <c r="C524" s="21" t="s">
        <v>217</v>
      </c>
      <c r="D524" s="22">
        <v>2269.7488199999998</v>
      </c>
      <c r="E524" s="22">
        <f t="shared" si="24"/>
        <v>2269.7488199999998</v>
      </c>
      <c r="F524" s="22">
        <v>533.57204000000002</v>
      </c>
      <c r="G524" s="22">
        <v>0</v>
      </c>
      <c r="H524" s="22">
        <v>813.19196999999997</v>
      </c>
      <c r="I524" s="22">
        <f t="shared" si="25"/>
        <v>1346.7640099999999</v>
      </c>
      <c r="J524" s="22">
        <f t="shared" si="26"/>
        <v>3616.5128299999997</v>
      </c>
      <c r="K524" s="22">
        <v>0</v>
      </c>
    </row>
    <row r="525" spans="1:11" x14ac:dyDescent="0.2">
      <c r="A525" s="15">
        <v>519</v>
      </c>
      <c r="B525" s="20">
        <v>170615</v>
      </c>
      <c r="C525" s="21" t="s">
        <v>218</v>
      </c>
      <c r="D525" s="22">
        <v>0</v>
      </c>
      <c r="E525" s="22">
        <f t="shared" si="24"/>
        <v>0</v>
      </c>
      <c r="F525" s="22"/>
      <c r="G525" s="22">
        <v>0</v>
      </c>
      <c r="H525" s="22"/>
      <c r="I525" s="22">
        <f t="shared" si="25"/>
        <v>0</v>
      </c>
      <c r="J525" s="22">
        <f t="shared" si="26"/>
        <v>0</v>
      </c>
      <c r="K525" s="22"/>
    </row>
    <row r="526" spans="1:11" x14ac:dyDescent="0.2">
      <c r="A526" s="15">
        <v>520</v>
      </c>
      <c r="B526" s="20">
        <v>170620</v>
      </c>
      <c r="C526" s="21" t="s">
        <v>219</v>
      </c>
      <c r="D526" s="22">
        <v>0</v>
      </c>
      <c r="E526" s="22">
        <f t="shared" si="24"/>
        <v>0</v>
      </c>
      <c r="F526" s="22">
        <v>0</v>
      </c>
      <c r="G526" s="22">
        <v>0</v>
      </c>
      <c r="H526" s="22">
        <v>0</v>
      </c>
      <c r="I526" s="22">
        <f t="shared" si="25"/>
        <v>0</v>
      </c>
      <c r="J526" s="22">
        <f t="shared" si="26"/>
        <v>0</v>
      </c>
      <c r="K526" s="22">
        <v>0</v>
      </c>
    </row>
    <row r="527" spans="1:11" x14ac:dyDescent="0.2">
      <c r="A527" s="15">
        <v>521</v>
      </c>
      <c r="B527" s="20">
        <v>170690</v>
      </c>
      <c r="C527" s="21" t="s">
        <v>58</v>
      </c>
      <c r="D527" s="22">
        <v>0</v>
      </c>
      <c r="E527" s="22">
        <f t="shared" si="24"/>
        <v>0</v>
      </c>
      <c r="F527" s="22">
        <v>0</v>
      </c>
      <c r="G527" s="22">
        <v>2150.99053</v>
      </c>
      <c r="H527" s="22">
        <v>233.74987999999999</v>
      </c>
      <c r="I527" s="22">
        <f t="shared" si="25"/>
        <v>2384.7404099999999</v>
      </c>
      <c r="J527" s="22">
        <f t="shared" si="26"/>
        <v>2384.7404099999999</v>
      </c>
      <c r="K527" s="22">
        <v>0</v>
      </c>
    </row>
    <row r="528" spans="1:11" x14ac:dyDescent="0.2">
      <c r="A528" s="15">
        <v>522</v>
      </c>
      <c r="B528" s="20">
        <v>170699</v>
      </c>
      <c r="C528" s="21" t="s">
        <v>220</v>
      </c>
      <c r="D528" s="22">
        <v>-2300.78856</v>
      </c>
      <c r="E528" s="22">
        <f t="shared" si="24"/>
        <v>-2300.78856</v>
      </c>
      <c r="F528" s="22">
        <v>-20.008890000000001</v>
      </c>
      <c r="G528" s="22">
        <v>-199.45920000000001</v>
      </c>
      <c r="H528" s="22">
        <v>-1041.7835600000001</v>
      </c>
      <c r="I528" s="22">
        <f t="shared" si="25"/>
        <v>-1261.2516500000002</v>
      </c>
      <c r="J528" s="22">
        <f t="shared" si="26"/>
        <v>-3562.0402100000001</v>
      </c>
      <c r="K528" s="22">
        <v>0</v>
      </c>
    </row>
    <row r="529" spans="1:11" x14ac:dyDescent="0.2">
      <c r="A529" s="15">
        <v>523</v>
      </c>
      <c r="B529" s="20">
        <v>1799</v>
      </c>
      <c r="C529" s="21" t="s">
        <v>221</v>
      </c>
      <c r="D529" s="22">
        <v>-755.64005999999995</v>
      </c>
      <c r="E529" s="22">
        <f t="shared" si="24"/>
        <v>-755.64005999999995</v>
      </c>
      <c r="F529" s="22">
        <v>-26.138200000000001</v>
      </c>
      <c r="G529" s="22">
        <v>-38.13879</v>
      </c>
      <c r="H529" s="22">
        <v>-8043.0837199999996</v>
      </c>
      <c r="I529" s="22">
        <f t="shared" si="25"/>
        <v>-8107.3607099999999</v>
      </c>
      <c r="J529" s="22">
        <f t="shared" si="26"/>
        <v>-8863.0007700000006</v>
      </c>
      <c r="K529" s="22">
        <v>0</v>
      </c>
    </row>
    <row r="530" spans="1:11" x14ac:dyDescent="0.2">
      <c r="A530" s="15">
        <v>524</v>
      </c>
      <c r="B530" s="20">
        <v>179905</v>
      </c>
      <c r="C530" s="21" t="s">
        <v>222</v>
      </c>
      <c r="D530" s="22">
        <v>-171.14164</v>
      </c>
      <c r="E530" s="22">
        <f t="shared" si="24"/>
        <v>-171.14164</v>
      </c>
      <c r="F530" s="22"/>
      <c r="G530" s="22"/>
      <c r="H530" s="22"/>
      <c r="I530" s="22">
        <f t="shared" si="25"/>
        <v>0</v>
      </c>
      <c r="J530" s="22">
        <f t="shared" si="26"/>
        <v>-171.14164</v>
      </c>
      <c r="K530" s="22"/>
    </row>
    <row r="531" spans="1:11" x14ac:dyDescent="0.2">
      <c r="A531" s="15">
        <v>525</v>
      </c>
      <c r="B531" s="20">
        <v>179910</v>
      </c>
      <c r="C531" s="21" t="s">
        <v>223</v>
      </c>
      <c r="D531" s="22">
        <v>-584.49842000000001</v>
      </c>
      <c r="E531" s="22">
        <f t="shared" si="24"/>
        <v>-584.49842000000001</v>
      </c>
      <c r="F531" s="22">
        <v>-26.138200000000001</v>
      </c>
      <c r="G531" s="22">
        <v>-38.13879</v>
      </c>
      <c r="H531" s="22">
        <v>-8043.0837199999996</v>
      </c>
      <c r="I531" s="22">
        <f t="shared" si="25"/>
        <v>-8107.3607099999999</v>
      </c>
      <c r="J531" s="22">
        <f t="shared" si="26"/>
        <v>-8691.8591300000007</v>
      </c>
      <c r="K531" s="22">
        <v>0</v>
      </c>
    </row>
    <row r="532" spans="1:11" x14ac:dyDescent="0.2">
      <c r="A532" s="15">
        <v>526</v>
      </c>
      <c r="B532" s="20">
        <v>179915</v>
      </c>
      <c r="C532" s="21" t="s">
        <v>224</v>
      </c>
      <c r="D532" s="22"/>
      <c r="E532" s="22">
        <f t="shared" si="24"/>
        <v>0</v>
      </c>
      <c r="F532" s="22"/>
      <c r="G532" s="22">
        <v>0</v>
      </c>
      <c r="H532" s="22">
        <v>0</v>
      </c>
      <c r="I532" s="22">
        <f t="shared" si="25"/>
        <v>0</v>
      </c>
      <c r="J532" s="22">
        <f t="shared" si="26"/>
        <v>0</v>
      </c>
      <c r="K532" s="22"/>
    </row>
    <row r="533" spans="1:11" x14ac:dyDescent="0.2">
      <c r="A533" s="15">
        <v>527</v>
      </c>
      <c r="B533" s="20">
        <v>179920</v>
      </c>
      <c r="C533" s="21" t="s">
        <v>225</v>
      </c>
      <c r="D533" s="22"/>
      <c r="E533" s="22">
        <f t="shared" si="24"/>
        <v>0</v>
      </c>
      <c r="F533" s="22"/>
      <c r="G533" s="22"/>
      <c r="H533" s="22"/>
      <c r="I533" s="22">
        <f t="shared" si="25"/>
        <v>0</v>
      </c>
      <c r="J533" s="22">
        <f t="shared" si="26"/>
        <v>0</v>
      </c>
      <c r="K533" s="22"/>
    </row>
    <row r="534" spans="1:11" x14ac:dyDescent="0.2">
      <c r="A534" s="15">
        <v>528</v>
      </c>
      <c r="B534" s="20">
        <v>18</v>
      </c>
      <c r="C534" s="21" t="s">
        <v>226</v>
      </c>
      <c r="D534" s="22">
        <v>7079.7335199999998</v>
      </c>
      <c r="E534" s="22">
        <f t="shared" si="24"/>
        <v>7079.7335199999998</v>
      </c>
      <c r="F534" s="22">
        <v>5522.7246299999997</v>
      </c>
      <c r="G534" s="22">
        <v>28830.328750000001</v>
      </c>
      <c r="H534" s="22">
        <v>37892.1008</v>
      </c>
      <c r="I534" s="22">
        <f t="shared" si="25"/>
        <v>72245.154179999998</v>
      </c>
      <c r="J534" s="22">
        <f t="shared" si="26"/>
        <v>79324.887699999992</v>
      </c>
      <c r="K534" s="22">
        <v>7496.7115000000003</v>
      </c>
    </row>
    <row r="535" spans="1:11" x14ac:dyDescent="0.2">
      <c r="A535" s="15">
        <v>529</v>
      </c>
      <c r="B535" s="20">
        <v>1801</v>
      </c>
      <c r="C535" s="21" t="s">
        <v>192</v>
      </c>
      <c r="D535" s="22">
        <v>5400.8433000000005</v>
      </c>
      <c r="E535" s="22">
        <f t="shared" si="24"/>
        <v>5400.8433000000005</v>
      </c>
      <c r="F535" s="22">
        <v>2336.06358</v>
      </c>
      <c r="G535" s="22">
        <v>13485.752479999999</v>
      </c>
      <c r="H535" s="22">
        <v>11929.86778</v>
      </c>
      <c r="I535" s="22">
        <f t="shared" si="25"/>
        <v>27751.683839999998</v>
      </c>
      <c r="J535" s="22">
        <f t="shared" si="26"/>
        <v>33152.527139999998</v>
      </c>
      <c r="K535" s="22">
        <v>449.83499999999998</v>
      </c>
    </row>
    <row r="536" spans="1:11" x14ac:dyDescent="0.2">
      <c r="A536" s="15">
        <v>530</v>
      </c>
      <c r="B536" s="20">
        <v>1802</v>
      </c>
      <c r="C536" s="21" t="s">
        <v>217</v>
      </c>
      <c r="D536" s="22">
        <v>5952.5547900000001</v>
      </c>
      <c r="E536" s="22">
        <f t="shared" si="24"/>
        <v>5952.5547900000001</v>
      </c>
      <c r="F536" s="22">
        <v>8715.7420299999994</v>
      </c>
      <c r="G536" s="22">
        <v>22165.06511</v>
      </c>
      <c r="H536" s="22">
        <v>36971.360000000001</v>
      </c>
      <c r="I536" s="22">
        <f t="shared" si="25"/>
        <v>67852.167140000005</v>
      </c>
      <c r="J536" s="22">
        <f t="shared" si="26"/>
        <v>73804.72193</v>
      </c>
      <c r="K536" s="22">
        <v>1232.6818000000001</v>
      </c>
    </row>
    <row r="537" spans="1:11" x14ac:dyDescent="0.2">
      <c r="A537" s="15">
        <v>531</v>
      </c>
      <c r="B537" s="20">
        <v>1803</v>
      </c>
      <c r="C537" s="21" t="s">
        <v>227</v>
      </c>
      <c r="D537" s="22">
        <v>28.063300000000002</v>
      </c>
      <c r="E537" s="22">
        <f t="shared" si="24"/>
        <v>28.063300000000002</v>
      </c>
      <c r="F537" s="22">
        <v>39.48986</v>
      </c>
      <c r="G537" s="22">
        <v>422.64855999999997</v>
      </c>
      <c r="H537" s="22">
        <v>580.42003</v>
      </c>
      <c r="I537" s="22">
        <f t="shared" si="25"/>
        <v>1042.55845</v>
      </c>
      <c r="J537" s="22">
        <f t="shared" si="26"/>
        <v>1070.62175</v>
      </c>
      <c r="K537" s="22">
        <v>3263.2190500000002</v>
      </c>
    </row>
    <row r="538" spans="1:11" x14ac:dyDescent="0.2">
      <c r="A538" s="15">
        <v>532</v>
      </c>
      <c r="B538" s="20">
        <v>1804</v>
      </c>
      <c r="C538" s="21" t="s">
        <v>218</v>
      </c>
      <c r="D538" s="22">
        <v>519.91773999999998</v>
      </c>
      <c r="E538" s="22">
        <f t="shared" si="24"/>
        <v>519.91773999999998</v>
      </c>
      <c r="F538" s="22"/>
      <c r="G538" s="22">
        <v>14.8546</v>
      </c>
      <c r="H538" s="22"/>
      <c r="I538" s="22">
        <f t="shared" si="25"/>
        <v>14.8546</v>
      </c>
      <c r="J538" s="22">
        <f t="shared" si="26"/>
        <v>534.77233999999999</v>
      </c>
      <c r="K538" s="22"/>
    </row>
    <row r="539" spans="1:11" x14ac:dyDescent="0.2">
      <c r="A539" s="15">
        <v>533</v>
      </c>
      <c r="B539" s="20">
        <v>1805</v>
      </c>
      <c r="C539" s="21" t="s">
        <v>210</v>
      </c>
      <c r="D539" s="22">
        <v>754.03380000000004</v>
      </c>
      <c r="E539" s="22">
        <f t="shared" si="24"/>
        <v>754.03380000000004</v>
      </c>
      <c r="F539" s="22">
        <v>3274.7734999999998</v>
      </c>
      <c r="G539" s="22">
        <v>6953.4670999999998</v>
      </c>
      <c r="H539" s="22">
        <v>3095.6127999999999</v>
      </c>
      <c r="I539" s="22">
        <f t="shared" si="25"/>
        <v>13323.8534</v>
      </c>
      <c r="J539" s="22">
        <f t="shared" si="26"/>
        <v>14077.887199999999</v>
      </c>
      <c r="K539" s="22">
        <v>1426.5281500000001</v>
      </c>
    </row>
    <row r="540" spans="1:11" x14ac:dyDescent="0.2">
      <c r="A540" s="15">
        <v>534</v>
      </c>
      <c r="B540" s="20">
        <v>1806</v>
      </c>
      <c r="C540" s="21" t="s">
        <v>228</v>
      </c>
      <c r="D540" s="22">
        <v>1910.0837100000001</v>
      </c>
      <c r="E540" s="22">
        <f t="shared" si="24"/>
        <v>1910.0837100000001</v>
      </c>
      <c r="F540" s="22">
        <v>2939.5423000000001</v>
      </c>
      <c r="G540" s="22">
        <v>8753.7637699999996</v>
      </c>
      <c r="H540" s="22">
        <v>4196.7082700000001</v>
      </c>
      <c r="I540" s="22">
        <f t="shared" si="25"/>
        <v>15890.014339999998</v>
      </c>
      <c r="J540" s="22">
        <f t="shared" si="26"/>
        <v>17800.098049999997</v>
      </c>
      <c r="K540" s="22">
        <v>2718.4380099999998</v>
      </c>
    </row>
    <row r="541" spans="1:11" x14ac:dyDescent="0.2">
      <c r="A541" s="15">
        <v>535</v>
      </c>
      <c r="B541" s="20">
        <v>1807</v>
      </c>
      <c r="C541" s="21" t="s">
        <v>199</v>
      </c>
      <c r="D541" s="22">
        <v>574.13815999999997</v>
      </c>
      <c r="E541" s="22">
        <f t="shared" si="24"/>
        <v>574.13815999999997</v>
      </c>
      <c r="F541" s="22">
        <v>995.31931999999995</v>
      </c>
      <c r="G541" s="22">
        <v>3979.6677599999998</v>
      </c>
      <c r="H541" s="22">
        <v>1124.3133</v>
      </c>
      <c r="I541" s="22">
        <f t="shared" si="25"/>
        <v>6099.3003799999997</v>
      </c>
      <c r="J541" s="22">
        <f t="shared" si="26"/>
        <v>6673.4385399999992</v>
      </c>
      <c r="K541" s="22">
        <v>675.14873</v>
      </c>
    </row>
    <row r="542" spans="1:11" x14ac:dyDescent="0.2">
      <c r="A542" s="15">
        <v>536</v>
      </c>
      <c r="B542" s="20">
        <v>1808</v>
      </c>
      <c r="C542" s="21" t="s">
        <v>212</v>
      </c>
      <c r="D542" s="22">
        <v>0</v>
      </c>
      <c r="E542" s="22">
        <f t="shared" si="24"/>
        <v>0</v>
      </c>
      <c r="F542" s="22">
        <v>0</v>
      </c>
      <c r="G542" s="22">
        <v>0</v>
      </c>
      <c r="H542" s="22">
        <v>0</v>
      </c>
      <c r="I542" s="22">
        <f t="shared" si="25"/>
        <v>0</v>
      </c>
      <c r="J542" s="22">
        <f t="shared" si="26"/>
        <v>0</v>
      </c>
      <c r="K542" s="22">
        <v>0</v>
      </c>
    </row>
    <row r="543" spans="1:11" x14ac:dyDescent="0.2">
      <c r="A543" s="15">
        <v>537</v>
      </c>
      <c r="B543" s="20">
        <v>1809</v>
      </c>
      <c r="C543" s="21" t="s">
        <v>213</v>
      </c>
      <c r="D543" s="22">
        <v>0</v>
      </c>
      <c r="E543" s="22">
        <f t="shared" si="24"/>
        <v>0</v>
      </c>
      <c r="F543" s="22">
        <v>0</v>
      </c>
      <c r="G543" s="22">
        <v>0</v>
      </c>
      <c r="H543" s="22">
        <v>0</v>
      </c>
      <c r="I543" s="22">
        <f t="shared" si="25"/>
        <v>0</v>
      </c>
      <c r="J543" s="22">
        <f t="shared" si="26"/>
        <v>0</v>
      </c>
      <c r="K543" s="22">
        <v>0</v>
      </c>
    </row>
    <row r="544" spans="1:11" x14ac:dyDescent="0.2">
      <c r="A544" s="15">
        <v>538</v>
      </c>
      <c r="B544" s="20">
        <v>1890</v>
      </c>
      <c r="C544" s="21" t="s">
        <v>58</v>
      </c>
      <c r="D544" s="22">
        <v>29.15409</v>
      </c>
      <c r="E544" s="22">
        <f t="shared" si="24"/>
        <v>29.15409</v>
      </c>
      <c r="F544" s="22">
        <v>1020.26234</v>
      </c>
      <c r="G544" s="22">
        <v>0.1176</v>
      </c>
      <c r="H544" s="22">
        <v>1359.8836699999999</v>
      </c>
      <c r="I544" s="22">
        <f t="shared" si="25"/>
        <v>2380.26361</v>
      </c>
      <c r="J544" s="22">
        <f t="shared" si="26"/>
        <v>2409.4177</v>
      </c>
      <c r="K544" s="22">
        <v>0</v>
      </c>
    </row>
    <row r="545" spans="1:11" x14ac:dyDescent="0.2">
      <c r="A545" s="15">
        <v>539</v>
      </c>
      <c r="B545" s="20">
        <v>1899</v>
      </c>
      <c r="C545" s="21" t="s">
        <v>229</v>
      </c>
      <c r="D545" s="22">
        <v>-8089.05537</v>
      </c>
      <c r="E545" s="22">
        <f t="shared" si="24"/>
        <v>-8089.05537</v>
      </c>
      <c r="F545" s="22">
        <v>-13798.4683</v>
      </c>
      <c r="G545" s="22">
        <v>-26945.008229999999</v>
      </c>
      <c r="H545" s="22">
        <v>-21366.065050000001</v>
      </c>
      <c r="I545" s="22">
        <f t="shared" si="25"/>
        <v>-62109.541580000005</v>
      </c>
      <c r="J545" s="22">
        <f t="shared" si="26"/>
        <v>-70198.596950000006</v>
      </c>
      <c r="K545" s="22">
        <v>-2269.13924</v>
      </c>
    </row>
    <row r="546" spans="1:11" x14ac:dyDescent="0.2">
      <c r="A546" s="15">
        <v>540</v>
      </c>
      <c r="B546" s="20">
        <v>189905</v>
      </c>
      <c r="C546" s="21" t="s">
        <v>230</v>
      </c>
      <c r="D546" s="22">
        <v>-5952.5427900000004</v>
      </c>
      <c r="E546" s="22">
        <f t="shared" si="24"/>
        <v>-5952.5427900000004</v>
      </c>
      <c r="F546" s="22">
        <v>-7362.45309</v>
      </c>
      <c r="G546" s="22">
        <v>-16239.347299999999</v>
      </c>
      <c r="H546" s="22">
        <v>-15684.768099999999</v>
      </c>
      <c r="I546" s="22">
        <f t="shared" si="25"/>
        <v>-39286.568489999998</v>
      </c>
      <c r="J546" s="22">
        <f t="shared" si="26"/>
        <v>-45239.111279999997</v>
      </c>
      <c r="K546" s="22">
        <v>-227.30646999999999</v>
      </c>
    </row>
    <row r="547" spans="1:11" x14ac:dyDescent="0.2">
      <c r="A547" s="15">
        <v>541</v>
      </c>
      <c r="B547" s="20">
        <v>189910</v>
      </c>
      <c r="C547" s="21" t="s">
        <v>231</v>
      </c>
      <c r="D547" s="22">
        <v>-519.91574000000003</v>
      </c>
      <c r="E547" s="22">
        <f t="shared" si="24"/>
        <v>-519.91574000000003</v>
      </c>
      <c r="F547" s="22"/>
      <c r="G547" s="22">
        <v>-14.098649999999999</v>
      </c>
      <c r="H547" s="22"/>
      <c r="I547" s="22">
        <f t="shared" si="25"/>
        <v>-14.098649999999999</v>
      </c>
      <c r="J547" s="22">
        <f t="shared" si="26"/>
        <v>-534.01439000000005</v>
      </c>
      <c r="K547" s="22"/>
    </row>
    <row r="548" spans="1:11" x14ac:dyDescent="0.2">
      <c r="A548" s="15">
        <v>542</v>
      </c>
      <c r="B548" s="20">
        <v>189915</v>
      </c>
      <c r="C548" s="21" t="s">
        <v>232</v>
      </c>
      <c r="D548" s="22">
        <v>-360.25832000000003</v>
      </c>
      <c r="E548" s="22">
        <f t="shared" si="24"/>
        <v>-360.25832000000003</v>
      </c>
      <c r="F548" s="22">
        <v>-2654.81495</v>
      </c>
      <c r="G548" s="22">
        <v>-2545.7915200000002</v>
      </c>
      <c r="H548" s="22">
        <v>-1120.94588</v>
      </c>
      <c r="I548" s="22">
        <f t="shared" si="25"/>
        <v>-6321.5523500000008</v>
      </c>
      <c r="J548" s="22">
        <f t="shared" si="26"/>
        <v>-6681.8106700000008</v>
      </c>
      <c r="K548" s="22">
        <v>-410.00473</v>
      </c>
    </row>
    <row r="549" spans="1:11" x14ac:dyDescent="0.2">
      <c r="A549" s="15">
        <v>543</v>
      </c>
      <c r="B549" s="20">
        <v>189920</v>
      </c>
      <c r="C549" s="21" t="s">
        <v>233</v>
      </c>
      <c r="D549" s="22">
        <v>-1077.53916</v>
      </c>
      <c r="E549" s="22">
        <f t="shared" si="24"/>
        <v>-1077.53916</v>
      </c>
      <c r="F549" s="22">
        <v>-2573.4844499999999</v>
      </c>
      <c r="G549" s="22">
        <v>-5486.2590300000002</v>
      </c>
      <c r="H549" s="22">
        <v>-3278.3411299999998</v>
      </c>
      <c r="I549" s="22">
        <f t="shared" si="25"/>
        <v>-11338.08461</v>
      </c>
      <c r="J549" s="22">
        <f t="shared" si="26"/>
        <v>-12415.62377</v>
      </c>
      <c r="K549" s="22">
        <v>-1219.90768</v>
      </c>
    </row>
    <row r="550" spans="1:11" x14ac:dyDescent="0.2">
      <c r="A550" s="15">
        <v>544</v>
      </c>
      <c r="B550" s="20">
        <v>189925</v>
      </c>
      <c r="C550" s="21" t="s">
        <v>234</v>
      </c>
      <c r="D550" s="22">
        <v>-178.79936000000001</v>
      </c>
      <c r="E550" s="22">
        <f t="shared" si="24"/>
        <v>-178.79936000000001</v>
      </c>
      <c r="F550" s="22">
        <v>-854.08891000000006</v>
      </c>
      <c r="G550" s="22">
        <v>-2651.41806</v>
      </c>
      <c r="H550" s="22">
        <v>-786.58303000000001</v>
      </c>
      <c r="I550" s="22">
        <f t="shared" si="25"/>
        <v>-4292.09</v>
      </c>
      <c r="J550" s="22">
        <f t="shared" si="26"/>
        <v>-4470.8893600000001</v>
      </c>
      <c r="K550" s="22">
        <v>-407.43851999999998</v>
      </c>
    </row>
    <row r="551" spans="1:11" x14ac:dyDescent="0.2">
      <c r="A551" s="15">
        <v>545</v>
      </c>
      <c r="B551" s="20">
        <v>189930</v>
      </c>
      <c r="C551" s="21" t="s">
        <v>235</v>
      </c>
      <c r="D551" s="22">
        <v>0</v>
      </c>
      <c r="E551" s="22">
        <f t="shared" si="24"/>
        <v>0</v>
      </c>
      <c r="F551" s="22">
        <v>0</v>
      </c>
      <c r="G551" s="22">
        <v>0</v>
      </c>
      <c r="H551" s="22">
        <v>0</v>
      </c>
      <c r="I551" s="22">
        <f t="shared" si="25"/>
        <v>0</v>
      </c>
      <c r="J551" s="22">
        <f t="shared" si="26"/>
        <v>0</v>
      </c>
      <c r="K551" s="22">
        <v>0</v>
      </c>
    </row>
    <row r="552" spans="1:11" x14ac:dyDescent="0.2">
      <c r="A552" s="15">
        <v>546</v>
      </c>
      <c r="B552" s="20">
        <v>189935</v>
      </c>
      <c r="C552" s="21" t="s">
        <v>236</v>
      </c>
      <c r="D552" s="22">
        <v>0</v>
      </c>
      <c r="E552" s="22">
        <f t="shared" si="24"/>
        <v>0</v>
      </c>
      <c r="F552" s="22">
        <v>0</v>
      </c>
      <c r="G552" s="22">
        <v>0</v>
      </c>
      <c r="H552" s="22">
        <v>0</v>
      </c>
      <c r="I552" s="22">
        <f t="shared" si="25"/>
        <v>0</v>
      </c>
      <c r="J552" s="22">
        <f t="shared" si="26"/>
        <v>0</v>
      </c>
      <c r="K552" s="22">
        <v>0</v>
      </c>
    </row>
    <row r="553" spans="1:11" x14ac:dyDescent="0.2">
      <c r="A553" s="15">
        <v>547</v>
      </c>
      <c r="B553" s="20">
        <v>189940</v>
      </c>
      <c r="C553" s="21" t="s">
        <v>237</v>
      </c>
      <c r="D553" s="22">
        <v>0</v>
      </c>
      <c r="E553" s="22">
        <f t="shared" si="24"/>
        <v>0</v>
      </c>
      <c r="F553" s="22">
        <v>-353.62689999999998</v>
      </c>
      <c r="G553" s="22">
        <v>-8.0936699999999995</v>
      </c>
      <c r="H553" s="22">
        <v>-495.42691000000002</v>
      </c>
      <c r="I553" s="22">
        <f t="shared" si="25"/>
        <v>-857.14747999999997</v>
      </c>
      <c r="J553" s="22">
        <f t="shared" si="26"/>
        <v>-857.14747999999997</v>
      </c>
      <c r="K553" s="22">
        <v>-4.48184</v>
      </c>
    </row>
    <row r="554" spans="1:11" x14ac:dyDescent="0.2">
      <c r="A554" s="15">
        <v>548</v>
      </c>
      <c r="B554" s="20">
        <v>19</v>
      </c>
      <c r="C554" s="21" t="s">
        <v>238</v>
      </c>
      <c r="D554" s="22">
        <v>9265.2750500000002</v>
      </c>
      <c r="E554" s="22">
        <f t="shared" si="24"/>
        <v>9265.2750500000002</v>
      </c>
      <c r="F554" s="22">
        <v>1472.52575</v>
      </c>
      <c r="G554" s="22">
        <v>40349.771370000002</v>
      </c>
      <c r="H554" s="22">
        <v>510379.31440999999</v>
      </c>
      <c r="I554" s="22">
        <f t="shared" si="25"/>
        <v>552201.61152999999</v>
      </c>
      <c r="J554" s="22">
        <f t="shared" si="26"/>
        <v>561466.88658000005</v>
      </c>
      <c r="K554" s="22">
        <v>2628.0649899999999</v>
      </c>
    </row>
    <row r="555" spans="1:11" x14ac:dyDescent="0.2">
      <c r="A555" s="15">
        <v>549</v>
      </c>
      <c r="B555" s="20">
        <v>1901</v>
      </c>
      <c r="C555" s="21" t="s">
        <v>239</v>
      </c>
      <c r="D555" s="22">
        <v>6754.8012600000002</v>
      </c>
      <c r="E555" s="22">
        <f t="shared" si="24"/>
        <v>6754.8012600000002</v>
      </c>
      <c r="F555" s="22">
        <v>0</v>
      </c>
      <c r="G555" s="22">
        <v>2249.15607</v>
      </c>
      <c r="H555" s="22">
        <v>455060.44397999998</v>
      </c>
      <c r="I555" s="22">
        <f t="shared" si="25"/>
        <v>457309.60005000001</v>
      </c>
      <c r="J555" s="22">
        <f t="shared" si="26"/>
        <v>464064.40130999999</v>
      </c>
      <c r="K555" s="22"/>
    </row>
    <row r="556" spans="1:11" x14ac:dyDescent="0.2">
      <c r="A556" s="15">
        <v>550</v>
      </c>
      <c r="B556" s="20">
        <v>190105</v>
      </c>
      <c r="C556" s="21" t="s">
        <v>240</v>
      </c>
      <c r="D556" s="22">
        <v>2524.6428500000002</v>
      </c>
      <c r="E556" s="22">
        <f t="shared" si="24"/>
        <v>2524.6428500000002</v>
      </c>
      <c r="F556" s="22">
        <v>0</v>
      </c>
      <c r="G556" s="22"/>
      <c r="H556" s="22">
        <v>0</v>
      </c>
      <c r="I556" s="22">
        <f t="shared" si="25"/>
        <v>0</v>
      </c>
      <c r="J556" s="22">
        <f t="shared" si="26"/>
        <v>2524.6428500000002</v>
      </c>
      <c r="K556" s="22"/>
    </row>
    <row r="557" spans="1:11" x14ac:dyDescent="0.2">
      <c r="A557" s="15">
        <v>551</v>
      </c>
      <c r="B557" s="20">
        <v>190110</v>
      </c>
      <c r="C557" s="21" t="s">
        <v>241</v>
      </c>
      <c r="D557" s="22">
        <v>10.209899999999999</v>
      </c>
      <c r="E557" s="22">
        <f t="shared" si="24"/>
        <v>10.209899999999999</v>
      </c>
      <c r="F557" s="22">
        <v>0</v>
      </c>
      <c r="G557" s="22"/>
      <c r="H557" s="22">
        <v>430486.19549999997</v>
      </c>
      <c r="I557" s="22">
        <f t="shared" si="25"/>
        <v>430486.19549999997</v>
      </c>
      <c r="J557" s="22">
        <f t="shared" si="26"/>
        <v>430496.40539999999</v>
      </c>
      <c r="K557" s="22"/>
    </row>
    <row r="558" spans="1:11" x14ac:dyDescent="0.2">
      <c r="A558" s="15">
        <v>552</v>
      </c>
      <c r="B558" s="20">
        <v>190115</v>
      </c>
      <c r="C558" s="21" t="s">
        <v>242</v>
      </c>
      <c r="D558" s="22">
        <v>4219.9485100000002</v>
      </c>
      <c r="E558" s="22">
        <f t="shared" si="24"/>
        <v>4219.9485100000002</v>
      </c>
      <c r="F558" s="22"/>
      <c r="G558" s="22">
        <v>2249.15607</v>
      </c>
      <c r="H558" s="22">
        <v>24574.248479999998</v>
      </c>
      <c r="I558" s="22">
        <f t="shared" si="25"/>
        <v>26823.404549999999</v>
      </c>
      <c r="J558" s="22">
        <f t="shared" si="26"/>
        <v>31043.353060000001</v>
      </c>
      <c r="K558" s="22"/>
    </row>
    <row r="559" spans="1:11" x14ac:dyDescent="0.2">
      <c r="A559" s="15">
        <v>553</v>
      </c>
      <c r="B559" s="20">
        <v>190120</v>
      </c>
      <c r="C559" s="21" t="s">
        <v>243</v>
      </c>
      <c r="D559" s="22">
        <v>0</v>
      </c>
      <c r="E559" s="22">
        <f t="shared" si="24"/>
        <v>0</v>
      </c>
      <c r="F559" s="22">
        <v>0</v>
      </c>
      <c r="G559" s="22"/>
      <c r="H559" s="22">
        <v>0</v>
      </c>
      <c r="I559" s="22">
        <f t="shared" si="25"/>
        <v>0</v>
      </c>
      <c r="J559" s="22">
        <f t="shared" si="26"/>
        <v>0</v>
      </c>
      <c r="K559" s="22"/>
    </row>
    <row r="560" spans="1:11" x14ac:dyDescent="0.2">
      <c r="A560" s="15">
        <v>554</v>
      </c>
      <c r="B560" s="20">
        <v>190125</v>
      </c>
      <c r="C560" s="21" t="s">
        <v>244</v>
      </c>
      <c r="D560" s="22"/>
      <c r="E560" s="22">
        <f t="shared" si="24"/>
        <v>0</v>
      </c>
      <c r="F560" s="22"/>
      <c r="G560" s="22"/>
      <c r="H560" s="22"/>
      <c r="I560" s="22">
        <f t="shared" si="25"/>
        <v>0</v>
      </c>
      <c r="J560" s="22">
        <f t="shared" si="26"/>
        <v>0</v>
      </c>
      <c r="K560" s="22"/>
    </row>
    <row r="561" spans="1:11" x14ac:dyDescent="0.2">
      <c r="A561" s="15">
        <v>555</v>
      </c>
      <c r="B561" s="20">
        <v>1902</v>
      </c>
      <c r="C561" s="21" t="s">
        <v>200</v>
      </c>
      <c r="D561" s="22">
        <v>8978.1524700000009</v>
      </c>
      <c r="E561" s="22">
        <f t="shared" si="24"/>
        <v>8978.1524700000009</v>
      </c>
      <c r="F561" s="22">
        <v>0</v>
      </c>
      <c r="G561" s="22">
        <v>0</v>
      </c>
      <c r="H561" s="22">
        <v>35623.06379</v>
      </c>
      <c r="I561" s="22">
        <f t="shared" si="25"/>
        <v>35623.06379</v>
      </c>
      <c r="J561" s="22">
        <f t="shared" si="26"/>
        <v>44601.216260000001</v>
      </c>
      <c r="K561" s="22"/>
    </row>
    <row r="562" spans="1:11" x14ac:dyDescent="0.2">
      <c r="A562" s="15">
        <v>556</v>
      </c>
      <c r="B562" s="20">
        <v>190205</v>
      </c>
      <c r="C562" s="21" t="s">
        <v>245</v>
      </c>
      <c r="D562" s="22">
        <v>0</v>
      </c>
      <c r="E562" s="22">
        <f t="shared" si="24"/>
        <v>0</v>
      </c>
      <c r="F562" s="22">
        <v>0</v>
      </c>
      <c r="G562" s="22">
        <v>0</v>
      </c>
      <c r="H562" s="22">
        <v>29450.935409999998</v>
      </c>
      <c r="I562" s="22">
        <f t="shared" si="25"/>
        <v>29450.935409999998</v>
      </c>
      <c r="J562" s="22">
        <f t="shared" si="26"/>
        <v>29450.935409999998</v>
      </c>
      <c r="K562" s="22"/>
    </row>
    <row r="563" spans="1:11" x14ac:dyDescent="0.2">
      <c r="A563" s="15">
        <v>557</v>
      </c>
      <c r="B563" s="20">
        <v>190210</v>
      </c>
      <c r="C563" s="21" t="s">
        <v>246</v>
      </c>
      <c r="D563" s="22">
        <v>0</v>
      </c>
      <c r="E563" s="22">
        <f t="shared" si="24"/>
        <v>0</v>
      </c>
      <c r="F563" s="22">
        <v>0</v>
      </c>
      <c r="G563" s="22">
        <v>0</v>
      </c>
      <c r="H563" s="22">
        <v>0</v>
      </c>
      <c r="I563" s="22">
        <f t="shared" si="25"/>
        <v>0</v>
      </c>
      <c r="J563" s="22">
        <f t="shared" si="26"/>
        <v>0</v>
      </c>
      <c r="K563" s="22"/>
    </row>
    <row r="564" spans="1:11" x14ac:dyDescent="0.2">
      <c r="A564" s="15">
        <v>558</v>
      </c>
      <c r="B564" s="20">
        <v>190215</v>
      </c>
      <c r="C564" s="21" t="s">
        <v>247</v>
      </c>
      <c r="D564" s="22">
        <v>0</v>
      </c>
      <c r="E564" s="22">
        <f t="shared" si="24"/>
        <v>0</v>
      </c>
      <c r="F564" s="22">
        <v>0</v>
      </c>
      <c r="G564" s="22">
        <v>0</v>
      </c>
      <c r="H564" s="22">
        <v>0</v>
      </c>
      <c r="I564" s="22">
        <f t="shared" si="25"/>
        <v>0</v>
      </c>
      <c r="J564" s="22">
        <f t="shared" si="26"/>
        <v>0</v>
      </c>
      <c r="K564" s="22"/>
    </row>
    <row r="565" spans="1:11" x14ac:dyDescent="0.2">
      <c r="A565" s="15">
        <v>559</v>
      </c>
      <c r="B565" s="20">
        <v>190220</v>
      </c>
      <c r="C565" s="21" t="s">
        <v>248</v>
      </c>
      <c r="D565" s="22">
        <v>0</v>
      </c>
      <c r="E565" s="22">
        <f t="shared" si="24"/>
        <v>0</v>
      </c>
      <c r="F565" s="22">
        <v>0</v>
      </c>
      <c r="G565" s="22">
        <v>0</v>
      </c>
      <c r="H565" s="22">
        <v>0</v>
      </c>
      <c r="I565" s="22">
        <f t="shared" si="25"/>
        <v>0</v>
      </c>
      <c r="J565" s="22">
        <f t="shared" si="26"/>
        <v>0</v>
      </c>
      <c r="K565" s="22"/>
    </row>
    <row r="566" spans="1:11" x14ac:dyDescent="0.2">
      <c r="A566" s="15">
        <v>560</v>
      </c>
      <c r="B566" s="20">
        <v>190221</v>
      </c>
      <c r="C566" s="21" t="s">
        <v>249</v>
      </c>
      <c r="D566" s="22">
        <v>0</v>
      </c>
      <c r="E566" s="22">
        <f t="shared" si="24"/>
        <v>0</v>
      </c>
      <c r="F566" s="22">
        <v>0</v>
      </c>
      <c r="G566" s="22">
        <v>0</v>
      </c>
      <c r="H566" s="22">
        <v>0</v>
      </c>
      <c r="I566" s="22">
        <f t="shared" si="25"/>
        <v>0</v>
      </c>
      <c r="J566" s="22">
        <f t="shared" si="26"/>
        <v>0</v>
      </c>
      <c r="K566" s="22"/>
    </row>
    <row r="567" spans="1:11" x14ac:dyDescent="0.2">
      <c r="A567" s="15">
        <v>561</v>
      </c>
      <c r="B567" s="20">
        <v>190225</v>
      </c>
      <c r="C567" s="21" t="s">
        <v>250</v>
      </c>
      <c r="D567" s="22">
        <v>0</v>
      </c>
      <c r="E567" s="22">
        <f t="shared" si="24"/>
        <v>0</v>
      </c>
      <c r="F567" s="22">
        <v>0</v>
      </c>
      <c r="G567" s="22">
        <v>0</v>
      </c>
      <c r="H567" s="22">
        <v>0</v>
      </c>
      <c r="I567" s="22">
        <f t="shared" si="25"/>
        <v>0</v>
      </c>
      <c r="J567" s="22">
        <f t="shared" si="26"/>
        <v>0</v>
      </c>
      <c r="K567" s="22"/>
    </row>
    <row r="568" spans="1:11" x14ac:dyDescent="0.2">
      <c r="A568" s="15">
        <v>562</v>
      </c>
      <c r="B568" s="20">
        <v>190226</v>
      </c>
      <c r="C568" s="21" t="s">
        <v>251</v>
      </c>
      <c r="D568" s="22">
        <v>0</v>
      </c>
      <c r="E568" s="22">
        <f t="shared" si="24"/>
        <v>0</v>
      </c>
      <c r="F568" s="22">
        <v>0</v>
      </c>
      <c r="G568" s="22">
        <v>0</v>
      </c>
      <c r="H568" s="22">
        <v>0</v>
      </c>
      <c r="I568" s="22">
        <f t="shared" si="25"/>
        <v>0</v>
      </c>
      <c r="J568" s="22">
        <f t="shared" si="26"/>
        <v>0</v>
      </c>
      <c r="K568" s="22"/>
    </row>
    <row r="569" spans="1:11" x14ac:dyDescent="0.2">
      <c r="A569" s="15">
        <v>563</v>
      </c>
      <c r="B569" s="20">
        <v>190230</v>
      </c>
      <c r="C569" s="21" t="s">
        <v>252</v>
      </c>
      <c r="D569" s="22">
        <v>0</v>
      </c>
      <c r="E569" s="22">
        <f t="shared" si="24"/>
        <v>0</v>
      </c>
      <c r="F569" s="22">
        <v>0</v>
      </c>
      <c r="G569" s="22">
        <v>0</v>
      </c>
      <c r="H569" s="22">
        <v>0</v>
      </c>
      <c r="I569" s="22">
        <f t="shared" si="25"/>
        <v>0</v>
      </c>
      <c r="J569" s="22">
        <f t="shared" si="26"/>
        <v>0</v>
      </c>
      <c r="K569" s="22"/>
    </row>
    <row r="570" spans="1:11" x14ac:dyDescent="0.2">
      <c r="A570" s="15">
        <v>564</v>
      </c>
      <c r="B570" s="20">
        <v>190231</v>
      </c>
      <c r="C570" s="21" t="s">
        <v>253</v>
      </c>
      <c r="D570" s="22">
        <v>0</v>
      </c>
      <c r="E570" s="22">
        <f t="shared" si="24"/>
        <v>0</v>
      </c>
      <c r="F570" s="22">
        <v>0</v>
      </c>
      <c r="G570" s="22">
        <v>0</v>
      </c>
      <c r="H570" s="22">
        <v>0</v>
      </c>
      <c r="I570" s="22">
        <f t="shared" si="25"/>
        <v>0</v>
      </c>
      <c r="J570" s="22">
        <f t="shared" si="26"/>
        <v>0</v>
      </c>
      <c r="K570" s="22"/>
    </row>
    <row r="571" spans="1:11" x14ac:dyDescent="0.2">
      <c r="A571" s="15">
        <v>565</v>
      </c>
      <c r="B571" s="20">
        <v>190235</v>
      </c>
      <c r="C571" s="21" t="s">
        <v>254</v>
      </c>
      <c r="D571" s="22">
        <v>0</v>
      </c>
      <c r="E571" s="22">
        <f t="shared" si="24"/>
        <v>0</v>
      </c>
      <c r="F571" s="22">
        <v>0</v>
      </c>
      <c r="G571" s="22">
        <v>0</v>
      </c>
      <c r="H571" s="22">
        <v>0</v>
      </c>
      <c r="I571" s="22">
        <f t="shared" si="25"/>
        <v>0</v>
      </c>
      <c r="J571" s="22">
        <f t="shared" si="26"/>
        <v>0</v>
      </c>
      <c r="K571" s="22"/>
    </row>
    <row r="572" spans="1:11" x14ac:dyDescent="0.2">
      <c r="A572" s="15">
        <v>566</v>
      </c>
      <c r="B572" s="20">
        <v>190240</v>
      </c>
      <c r="C572" s="21" t="s">
        <v>155</v>
      </c>
      <c r="D572" s="22">
        <v>0</v>
      </c>
      <c r="E572" s="22">
        <f t="shared" si="24"/>
        <v>0</v>
      </c>
      <c r="F572" s="22">
        <v>0</v>
      </c>
      <c r="G572" s="22">
        <v>0</v>
      </c>
      <c r="H572" s="22">
        <v>0</v>
      </c>
      <c r="I572" s="22">
        <f t="shared" si="25"/>
        <v>0</v>
      </c>
      <c r="J572" s="22">
        <f t="shared" si="26"/>
        <v>0</v>
      </c>
      <c r="K572" s="22"/>
    </row>
    <row r="573" spans="1:11" x14ac:dyDescent="0.2">
      <c r="A573" s="15">
        <v>567</v>
      </c>
      <c r="B573" s="20">
        <v>190245</v>
      </c>
      <c r="C573" s="21" t="s">
        <v>255</v>
      </c>
      <c r="D573" s="22">
        <v>0</v>
      </c>
      <c r="E573" s="22">
        <f t="shared" si="24"/>
        <v>0</v>
      </c>
      <c r="F573" s="22">
        <v>0</v>
      </c>
      <c r="G573" s="22">
        <v>0</v>
      </c>
      <c r="H573" s="22">
        <v>0</v>
      </c>
      <c r="I573" s="22">
        <f t="shared" si="25"/>
        <v>0</v>
      </c>
      <c r="J573" s="22">
        <f t="shared" si="26"/>
        <v>0</v>
      </c>
      <c r="K573" s="22"/>
    </row>
    <row r="574" spans="1:11" x14ac:dyDescent="0.2">
      <c r="A574" s="15">
        <v>568</v>
      </c>
      <c r="B574" s="20">
        <v>190250</v>
      </c>
      <c r="C574" s="21" t="s">
        <v>191</v>
      </c>
      <c r="D574" s="22">
        <v>584.57302000000004</v>
      </c>
      <c r="E574" s="22">
        <f t="shared" si="24"/>
        <v>584.57302000000004</v>
      </c>
      <c r="F574" s="22"/>
      <c r="G574" s="22"/>
      <c r="H574" s="22"/>
      <c r="I574" s="22">
        <f t="shared" si="25"/>
        <v>0</v>
      </c>
      <c r="J574" s="22">
        <f t="shared" si="26"/>
        <v>584.57302000000004</v>
      </c>
      <c r="K574" s="22"/>
    </row>
    <row r="575" spans="1:11" x14ac:dyDescent="0.2">
      <c r="A575" s="15">
        <v>569</v>
      </c>
      <c r="B575" s="20">
        <v>190255</v>
      </c>
      <c r="C575" s="21" t="s">
        <v>196</v>
      </c>
      <c r="D575" s="22">
        <v>0</v>
      </c>
      <c r="E575" s="22">
        <f t="shared" si="24"/>
        <v>0</v>
      </c>
      <c r="F575" s="22">
        <v>0</v>
      </c>
      <c r="G575" s="22">
        <v>0</v>
      </c>
      <c r="H575" s="22">
        <v>0</v>
      </c>
      <c r="I575" s="22">
        <f t="shared" si="25"/>
        <v>0</v>
      </c>
      <c r="J575" s="22">
        <f t="shared" si="26"/>
        <v>0</v>
      </c>
      <c r="K575" s="22"/>
    </row>
    <row r="576" spans="1:11" x14ac:dyDescent="0.2">
      <c r="A576" s="15">
        <v>570</v>
      </c>
      <c r="B576" s="20">
        <v>190260</v>
      </c>
      <c r="C576" s="21" t="s">
        <v>208</v>
      </c>
      <c r="D576" s="22"/>
      <c r="E576" s="22">
        <f t="shared" si="24"/>
        <v>0</v>
      </c>
      <c r="F576" s="22"/>
      <c r="G576" s="22"/>
      <c r="H576" s="22"/>
      <c r="I576" s="22">
        <f t="shared" si="25"/>
        <v>0</v>
      </c>
      <c r="J576" s="22">
        <f t="shared" si="26"/>
        <v>0</v>
      </c>
      <c r="K576" s="22"/>
    </row>
    <row r="577" spans="1:11" x14ac:dyDescent="0.2">
      <c r="A577" s="15">
        <v>571</v>
      </c>
      <c r="B577" s="20">
        <v>190265</v>
      </c>
      <c r="C577" s="21" t="s">
        <v>216</v>
      </c>
      <c r="D577" s="22">
        <v>0</v>
      </c>
      <c r="E577" s="22">
        <f t="shared" si="24"/>
        <v>0</v>
      </c>
      <c r="F577" s="22">
        <v>0</v>
      </c>
      <c r="G577" s="22">
        <v>0</v>
      </c>
      <c r="H577" s="22">
        <v>0</v>
      </c>
      <c r="I577" s="22">
        <f t="shared" si="25"/>
        <v>0</v>
      </c>
      <c r="J577" s="22">
        <f t="shared" si="26"/>
        <v>0</v>
      </c>
      <c r="K577" s="22"/>
    </row>
    <row r="578" spans="1:11" x14ac:dyDescent="0.2">
      <c r="A578" s="15">
        <v>572</v>
      </c>
      <c r="B578" s="20">
        <v>190270</v>
      </c>
      <c r="C578" s="21" t="s">
        <v>256</v>
      </c>
      <c r="D578" s="22">
        <v>0</v>
      </c>
      <c r="E578" s="22">
        <f t="shared" si="24"/>
        <v>0</v>
      </c>
      <c r="F578" s="22">
        <v>0</v>
      </c>
      <c r="G578" s="22">
        <v>0</v>
      </c>
      <c r="H578" s="22">
        <v>0</v>
      </c>
      <c r="I578" s="22">
        <f t="shared" si="25"/>
        <v>0</v>
      </c>
      <c r="J578" s="22">
        <f t="shared" si="26"/>
        <v>0</v>
      </c>
      <c r="K578" s="22"/>
    </row>
    <row r="579" spans="1:11" x14ac:dyDescent="0.2">
      <c r="A579" s="15">
        <v>573</v>
      </c>
      <c r="B579" s="20">
        <v>190275</v>
      </c>
      <c r="C579" s="21" t="s">
        <v>257</v>
      </c>
      <c r="D579" s="22">
        <v>8393.5794499999993</v>
      </c>
      <c r="E579" s="22">
        <f t="shared" si="24"/>
        <v>8393.5794499999993</v>
      </c>
      <c r="F579" s="22">
        <v>0</v>
      </c>
      <c r="G579" s="22">
        <v>0</v>
      </c>
      <c r="H579" s="22">
        <v>0</v>
      </c>
      <c r="I579" s="22">
        <f t="shared" si="25"/>
        <v>0</v>
      </c>
      <c r="J579" s="22">
        <f t="shared" si="26"/>
        <v>8393.5794499999993</v>
      </c>
      <c r="K579" s="22"/>
    </row>
    <row r="580" spans="1:11" x14ac:dyDescent="0.2">
      <c r="A580" s="15">
        <v>574</v>
      </c>
      <c r="B580" s="20">
        <v>190280</v>
      </c>
      <c r="C580" s="21" t="s">
        <v>239</v>
      </c>
      <c r="D580" s="22">
        <v>0</v>
      </c>
      <c r="E580" s="22">
        <f t="shared" si="24"/>
        <v>0</v>
      </c>
      <c r="F580" s="22">
        <v>0</v>
      </c>
      <c r="G580" s="22">
        <v>0</v>
      </c>
      <c r="H580" s="22">
        <v>0</v>
      </c>
      <c r="I580" s="22">
        <f t="shared" si="25"/>
        <v>0</v>
      </c>
      <c r="J580" s="22">
        <f t="shared" si="26"/>
        <v>0</v>
      </c>
      <c r="K580" s="22"/>
    </row>
    <row r="581" spans="1:11" x14ac:dyDescent="0.2">
      <c r="A581" s="15">
        <v>575</v>
      </c>
      <c r="B581" s="20">
        <v>190286</v>
      </c>
      <c r="C581" s="21" t="s">
        <v>258</v>
      </c>
      <c r="D581" s="22"/>
      <c r="E581" s="22">
        <f t="shared" si="24"/>
        <v>0</v>
      </c>
      <c r="F581" s="22"/>
      <c r="G581" s="22"/>
      <c r="H581" s="22"/>
      <c r="I581" s="22">
        <f t="shared" si="25"/>
        <v>0</v>
      </c>
      <c r="J581" s="22">
        <f t="shared" si="26"/>
        <v>0</v>
      </c>
      <c r="K581" s="22"/>
    </row>
    <row r="582" spans="1:11" x14ac:dyDescent="0.2">
      <c r="A582" s="15">
        <v>576</v>
      </c>
      <c r="B582" s="20">
        <v>1903</v>
      </c>
      <c r="C582" s="21" t="s">
        <v>259</v>
      </c>
      <c r="D582" s="22"/>
      <c r="E582" s="22">
        <f t="shared" si="24"/>
        <v>0</v>
      </c>
      <c r="F582" s="22"/>
      <c r="G582" s="22"/>
      <c r="H582" s="22"/>
      <c r="I582" s="22">
        <f t="shared" si="25"/>
        <v>0</v>
      </c>
      <c r="J582" s="22">
        <f t="shared" si="26"/>
        <v>0</v>
      </c>
      <c r="K582" s="22"/>
    </row>
    <row r="583" spans="1:11" x14ac:dyDescent="0.2">
      <c r="A583" s="15">
        <v>577</v>
      </c>
      <c r="B583" s="20">
        <v>190305</v>
      </c>
      <c r="C583" s="21" t="s">
        <v>260</v>
      </c>
      <c r="D583" s="22"/>
      <c r="E583" s="22">
        <f t="shared" si="24"/>
        <v>0</v>
      </c>
      <c r="F583" s="22"/>
      <c r="G583" s="22"/>
      <c r="H583" s="22"/>
      <c r="I583" s="22">
        <f t="shared" si="25"/>
        <v>0</v>
      </c>
      <c r="J583" s="22">
        <f t="shared" si="26"/>
        <v>0</v>
      </c>
      <c r="K583" s="22"/>
    </row>
    <row r="584" spans="1:11" x14ac:dyDescent="0.2">
      <c r="A584" s="15">
        <v>578</v>
      </c>
      <c r="B584" s="20">
        <v>190310</v>
      </c>
      <c r="C584" s="21" t="s">
        <v>261</v>
      </c>
      <c r="D584" s="22"/>
      <c r="E584" s="22">
        <f t="shared" si="24"/>
        <v>0</v>
      </c>
      <c r="F584" s="22"/>
      <c r="G584" s="22"/>
      <c r="H584" s="22"/>
      <c r="I584" s="22">
        <f t="shared" si="25"/>
        <v>0</v>
      </c>
      <c r="J584" s="22">
        <f t="shared" si="26"/>
        <v>0</v>
      </c>
      <c r="K584" s="22"/>
    </row>
    <row r="585" spans="1:11" x14ac:dyDescent="0.2">
      <c r="A585" s="15">
        <v>579</v>
      </c>
      <c r="B585" s="20">
        <v>1904</v>
      </c>
      <c r="C585" s="21" t="s">
        <v>262</v>
      </c>
      <c r="D585" s="22">
        <v>830.85631000000001</v>
      </c>
      <c r="E585" s="22">
        <f t="shared" si="24"/>
        <v>830.85631000000001</v>
      </c>
      <c r="F585" s="22">
        <v>446.20352000000003</v>
      </c>
      <c r="G585" s="22">
        <v>13290.39057</v>
      </c>
      <c r="H585" s="22">
        <v>13570.070110000001</v>
      </c>
      <c r="I585" s="22">
        <f t="shared" si="25"/>
        <v>27306.664199999999</v>
      </c>
      <c r="J585" s="22">
        <f t="shared" si="26"/>
        <v>28137.520509999998</v>
      </c>
      <c r="K585" s="22">
        <v>1397.8624600000001</v>
      </c>
    </row>
    <row r="586" spans="1:11" x14ac:dyDescent="0.2">
      <c r="A586" s="15">
        <v>580</v>
      </c>
      <c r="B586" s="20">
        <v>190405</v>
      </c>
      <c r="C586" s="21" t="s">
        <v>166</v>
      </c>
      <c r="D586" s="22">
        <v>0</v>
      </c>
      <c r="E586" s="22">
        <f t="shared" ref="E586:E649" si="27">+D586</f>
        <v>0</v>
      </c>
      <c r="F586" s="22">
        <v>0</v>
      </c>
      <c r="G586" s="22">
        <v>0</v>
      </c>
      <c r="H586" s="22">
        <v>0</v>
      </c>
      <c r="I586" s="22">
        <f t="shared" ref="I586:I649" si="28">+SUM(F586:H586)</f>
        <v>0</v>
      </c>
      <c r="J586" s="22">
        <f t="shared" ref="J586:J649" si="29">+E586+I586</f>
        <v>0</v>
      </c>
      <c r="K586" s="22">
        <v>0</v>
      </c>
    </row>
    <row r="587" spans="1:11" x14ac:dyDescent="0.2">
      <c r="A587" s="15">
        <v>581</v>
      </c>
      <c r="B587" s="20">
        <v>190410</v>
      </c>
      <c r="C587" s="21" t="s">
        <v>263</v>
      </c>
      <c r="D587" s="22">
        <v>790.84670000000006</v>
      </c>
      <c r="E587" s="22">
        <f t="shared" si="27"/>
        <v>790.84670000000006</v>
      </c>
      <c r="F587" s="22">
        <v>433.97169000000002</v>
      </c>
      <c r="G587" s="22">
        <v>13385.33217</v>
      </c>
      <c r="H587" s="22">
        <v>12252.593699999999</v>
      </c>
      <c r="I587" s="22">
        <f t="shared" si="28"/>
        <v>26071.897559999998</v>
      </c>
      <c r="J587" s="22">
        <f t="shared" si="29"/>
        <v>26862.744259999999</v>
      </c>
      <c r="K587" s="22">
        <v>1394.80159</v>
      </c>
    </row>
    <row r="588" spans="1:11" x14ac:dyDescent="0.2">
      <c r="A588" s="15">
        <v>582</v>
      </c>
      <c r="B588" s="20">
        <v>190490</v>
      </c>
      <c r="C588" s="21" t="s">
        <v>58</v>
      </c>
      <c r="D588" s="22">
        <v>40.009610000000002</v>
      </c>
      <c r="E588" s="22">
        <f t="shared" si="27"/>
        <v>40.009610000000002</v>
      </c>
      <c r="F588" s="22">
        <v>24.594049999999999</v>
      </c>
      <c r="G588" s="22">
        <v>0.1</v>
      </c>
      <c r="H588" s="22">
        <v>1636.22641</v>
      </c>
      <c r="I588" s="22">
        <f t="shared" si="28"/>
        <v>1660.92046</v>
      </c>
      <c r="J588" s="22">
        <f t="shared" si="29"/>
        <v>1700.9300700000001</v>
      </c>
      <c r="K588" s="22">
        <v>3.06087</v>
      </c>
    </row>
    <row r="589" spans="1:11" x14ac:dyDescent="0.2">
      <c r="A589" s="15">
        <v>583</v>
      </c>
      <c r="B589" s="20">
        <v>190499</v>
      </c>
      <c r="C589" s="21" t="s">
        <v>264</v>
      </c>
      <c r="D589" s="22">
        <v>0</v>
      </c>
      <c r="E589" s="22">
        <f t="shared" si="27"/>
        <v>0</v>
      </c>
      <c r="F589" s="22">
        <v>-12.362220000000001</v>
      </c>
      <c r="G589" s="22">
        <v>-95.041600000000003</v>
      </c>
      <c r="H589" s="22">
        <v>-318.75</v>
      </c>
      <c r="I589" s="22">
        <f t="shared" si="28"/>
        <v>-426.15382</v>
      </c>
      <c r="J589" s="22">
        <f t="shared" si="29"/>
        <v>-426.15382</v>
      </c>
      <c r="K589" s="22">
        <v>0</v>
      </c>
    </row>
    <row r="590" spans="1:11" x14ac:dyDescent="0.2">
      <c r="A590" s="15">
        <v>584</v>
      </c>
      <c r="B590" s="20">
        <v>1905</v>
      </c>
      <c r="C590" s="21" t="s">
        <v>265</v>
      </c>
      <c r="D590" s="22">
        <v>64.981409999999997</v>
      </c>
      <c r="E590" s="22">
        <f t="shared" si="27"/>
        <v>64.981409999999997</v>
      </c>
      <c r="F590" s="22">
        <v>295.19981999999999</v>
      </c>
      <c r="G590" s="22">
        <v>3968.25225</v>
      </c>
      <c r="H590" s="22">
        <v>2494.8560600000001</v>
      </c>
      <c r="I590" s="22">
        <f t="shared" si="28"/>
        <v>6758.3081300000003</v>
      </c>
      <c r="J590" s="22">
        <f t="shared" si="29"/>
        <v>6823.2895400000007</v>
      </c>
      <c r="K590" s="22">
        <v>114.56100000000001</v>
      </c>
    </row>
    <row r="591" spans="1:11" x14ac:dyDescent="0.2">
      <c r="A591" s="15">
        <v>585</v>
      </c>
      <c r="B591" s="20">
        <v>190505</v>
      </c>
      <c r="C591" s="21" t="s">
        <v>266</v>
      </c>
      <c r="D591" s="22"/>
      <c r="E591" s="22">
        <f t="shared" si="27"/>
        <v>0</v>
      </c>
      <c r="F591" s="22"/>
      <c r="G591" s="22"/>
      <c r="H591" s="22">
        <v>0</v>
      </c>
      <c r="I591" s="22">
        <f t="shared" si="28"/>
        <v>0</v>
      </c>
      <c r="J591" s="22">
        <f t="shared" si="29"/>
        <v>0</v>
      </c>
      <c r="K591" s="22"/>
    </row>
    <row r="592" spans="1:11" x14ac:dyDescent="0.2">
      <c r="A592" s="15">
        <v>586</v>
      </c>
      <c r="B592" s="20">
        <v>190510</v>
      </c>
      <c r="C592" s="21" t="s">
        <v>267</v>
      </c>
      <c r="D592" s="22"/>
      <c r="E592" s="22">
        <f t="shared" si="27"/>
        <v>0</v>
      </c>
      <c r="F592" s="22"/>
      <c r="G592" s="22">
        <v>29.680040000000002</v>
      </c>
      <c r="H592" s="22"/>
      <c r="I592" s="22">
        <f t="shared" si="28"/>
        <v>29.680040000000002</v>
      </c>
      <c r="J592" s="22">
        <f t="shared" si="29"/>
        <v>29.680040000000002</v>
      </c>
      <c r="K592" s="22"/>
    </row>
    <row r="593" spans="1:11" x14ac:dyDescent="0.2">
      <c r="A593" s="15">
        <v>587</v>
      </c>
      <c r="B593" s="20">
        <v>190515</v>
      </c>
      <c r="C593" s="21" t="s">
        <v>268</v>
      </c>
      <c r="D593" s="22">
        <v>0</v>
      </c>
      <c r="E593" s="22">
        <f t="shared" si="27"/>
        <v>0</v>
      </c>
      <c r="F593" s="22">
        <v>0</v>
      </c>
      <c r="G593" s="22">
        <v>0</v>
      </c>
      <c r="H593" s="22">
        <v>0</v>
      </c>
      <c r="I593" s="22">
        <f t="shared" si="28"/>
        <v>0</v>
      </c>
      <c r="J593" s="22">
        <f t="shared" si="29"/>
        <v>0</v>
      </c>
      <c r="K593" s="22">
        <v>0</v>
      </c>
    </row>
    <row r="594" spans="1:11" x14ac:dyDescent="0.2">
      <c r="A594" s="15">
        <v>588</v>
      </c>
      <c r="B594" s="20">
        <v>190520</v>
      </c>
      <c r="C594" s="21" t="s">
        <v>269</v>
      </c>
      <c r="D594" s="22">
        <v>64.981409999999997</v>
      </c>
      <c r="E594" s="22">
        <f t="shared" si="27"/>
        <v>64.981409999999997</v>
      </c>
      <c r="F594" s="22">
        <v>166.06728000000001</v>
      </c>
      <c r="G594" s="22">
        <v>2344.4531400000001</v>
      </c>
      <c r="H594" s="22">
        <v>4226.1992399999999</v>
      </c>
      <c r="I594" s="22">
        <f t="shared" si="28"/>
        <v>6736.7196600000007</v>
      </c>
      <c r="J594" s="22">
        <f t="shared" si="29"/>
        <v>6801.701070000001</v>
      </c>
      <c r="K594" s="22">
        <v>114.56100000000001</v>
      </c>
    </row>
    <row r="595" spans="1:11" x14ac:dyDescent="0.2">
      <c r="A595" s="15">
        <v>589</v>
      </c>
      <c r="B595" s="20">
        <v>190525</v>
      </c>
      <c r="C595" s="21" t="s">
        <v>270</v>
      </c>
      <c r="D595" s="22">
        <v>0</v>
      </c>
      <c r="E595" s="22">
        <f t="shared" si="27"/>
        <v>0</v>
      </c>
      <c r="F595" s="22">
        <v>233.27404999999999</v>
      </c>
      <c r="G595" s="22">
        <v>965.60495000000003</v>
      </c>
      <c r="H595" s="22">
        <v>0</v>
      </c>
      <c r="I595" s="22">
        <f t="shared" si="28"/>
        <v>1198.8789999999999</v>
      </c>
      <c r="J595" s="22">
        <f t="shared" si="29"/>
        <v>1198.8789999999999</v>
      </c>
      <c r="K595" s="22">
        <v>0</v>
      </c>
    </row>
    <row r="596" spans="1:11" x14ac:dyDescent="0.2">
      <c r="A596" s="15">
        <v>590</v>
      </c>
      <c r="B596" s="20">
        <v>190530</v>
      </c>
      <c r="C596" s="21" t="s">
        <v>271</v>
      </c>
      <c r="D596" s="22">
        <v>0</v>
      </c>
      <c r="E596" s="22">
        <f t="shared" si="27"/>
        <v>0</v>
      </c>
      <c r="F596" s="22">
        <v>0</v>
      </c>
      <c r="G596" s="22">
        <v>1155.8342</v>
      </c>
      <c r="H596" s="22">
        <v>0</v>
      </c>
      <c r="I596" s="22">
        <f t="shared" si="28"/>
        <v>1155.8342</v>
      </c>
      <c r="J596" s="22">
        <f t="shared" si="29"/>
        <v>1155.8342</v>
      </c>
      <c r="K596" s="22"/>
    </row>
    <row r="597" spans="1:11" x14ac:dyDescent="0.2">
      <c r="A597" s="15">
        <v>591</v>
      </c>
      <c r="B597" s="20">
        <v>190590</v>
      </c>
      <c r="C597" s="21" t="s">
        <v>58</v>
      </c>
      <c r="D597" s="22">
        <v>0</v>
      </c>
      <c r="E597" s="22">
        <f t="shared" si="27"/>
        <v>0</v>
      </c>
      <c r="F597" s="22">
        <v>0</v>
      </c>
      <c r="G597" s="22">
        <v>18.185580000000002</v>
      </c>
      <c r="H597" s="22">
        <v>673.90697999999998</v>
      </c>
      <c r="I597" s="22">
        <f t="shared" si="28"/>
        <v>692.09255999999993</v>
      </c>
      <c r="J597" s="22">
        <f t="shared" si="29"/>
        <v>692.09255999999993</v>
      </c>
      <c r="K597" s="22">
        <v>0</v>
      </c>
    </row>
    <row r="598" spans="1:11" x14ac:dyDescent="0.2">
      <c r="A598" s="15">
        <v>592</v>
      </c>
      <c r="B598" s="20">
        <v>190599</v>
      </c>
      <c r="C598" s="21" t="s">
        <v>272</v>
      </c>
      <c r="D598" s="22">
        <v>0</v>
      </c>
      <c r="E598" s="22">
        <f t="shared" si="27"/>
        <v>0</v>
      </c>
      <c r="F598" s="22">
        <v>-104.14151</v>
      </c>
      <c r="G598" s="22">
        <v>-545.50566000000003</v>
      </c>
      <c r="H598" s="22">
        <v>-2405.2501600000001</v>
      </c>
      <c r="I598" s="22">
        <f t="shared" si="28"/>
        <v>-3054.8973300000002</v>
      </c>
      <c r="J598" s="22">
        <f t="shared" si="29"/>
        <v>-3054.8973300000002</v>
      </c>
      <c r="K598" s="22">
        <v>0</v>
      </c>
    </row>
    <row r="599" spans="1:11" x14ac:dyDescent="0.2">
      <c r="A599" s="15">
        <v>593</v>
      </c>
      <c r="B599" s="20">
        <v>1906</v>
      </c>
      <c r="C599" s="21" t="s">
        <v>273</v>
      </c>
      <c r="D599" s="22">
        <v>133.46897000000001</v>
      </c>
      <c r="E599" s="22">
        <f t="shared" si="27"/>
        <v>133.46897000000001</v>
      </c>
      <c r="F599" s="22">
        <v>59.462960000000002</v>
      </c>
      <c r="G599" s="22">
        <v>1317.45533</v>
      </c>
      <c r="H599" s="22">
        <v>265.16242</v>
      </c>
      <c r="I599" s="22">
        <f t="shared" si="28"/>
        <v>1642.0807100000002</v>
      </c>
      <c r="J599" s="22">
        <f t="shared" si="29"/>
        <v>1775.5496800000001</v>
      </c>
      <c r="K599" s="22">
        <v>99.034350000000003</v>
      </c>
    </row>
    <row r="600" spans="1:11" x14ac:dyDescent="0.2">
      <c r="A600" s="15">
        <v>594</v>
      </c>
      <c r="B600" s="20">
        <v>190605</v>
      </c>
      <c r="C600" s="21" t="s">
        <v>274</v>
      </c>
      <c r="D600" s="22">
        <v>2.2381799999999998</v>
      </c>
      <c r="E600" s="22">
        <f t="shared" si="27"/>
        <v>2.2381799999999998</v>
      </c>
      <c r="F600" s="22"/>
      <c r="G600" s="22"/>
      <c r="H600" s="22"/>
      <c r="I600" s="22">
        <f t="shared" si="28"/>
        <v>0</v>
      </c>
      <c r="J600" s="22">
        <f t="shared" si="29"/>
        <v>2.2381799999999998</v>
      </c>
      <c r="K600" s="22"/>
    </row>
    <row r="601" spans="1:11" x14ac:dyDescent="0.2">
      <c r="A601" s="15">
        <v>595</v>
      </c>
      <c r="B601" s="20">
        <v>190610</v>
      </c>
      <c r="C601" s="21" t="s">
        <v>275</v>
      </c>
      <c r="D601" s="22"/>
      <c r="E601" s="22">
        <f t="shared" si="27"/>
        <v>0</v>
      </c>
      <c r="F601" s="22"/>
      <c r="G601" s="22"/>
      <c r="H601" s="22"/>
      <c r="I601" s="22">
        <f t="shared" si="28"/>
        <v>0</v>
      </c>
      <c r="J601" s="22">
        <f t="shared" si="29"/>
        <v>0</v>
      </c>
      <c r="K601" s="22"/>
    </row>
    <row r="602" spans="1:11" x14ac:dyDescent="0.2">
      <c r="A602" s="15">
        <v>596</v>
      </c>
      <c r="B602" s="20">
        <v>190615</v>
      </c>
      <c r="C602" s="21" t="s">
        <v>276</v>
      </c>
      <c r="D602" s="22">
        <v>131.23079000000001</v>
      </c>
      <c r="E602" s="22">
        <f t="shared" si="27"/>
        <v>131.23079000000001</v>
      </c>
      <c r="F602" s="22">
        <v>59.462960000000002</v>
      </c>
      <c r="G602" s="22">
        <v>1317.45533</v>
      </c>
      <c r="H602" s="22">
        <v>265.16242</v>
      </c>
      <c r="I602" s="22">
        <f t="shared" si="28"/>
        <v>1642.0807100000002</v>
      </c>
      <c r="J602" s="22">
        <f t="shared" si="29"/>
        <v>1773.3115000000003</v>
      </c>
      <c r="K602" s="22">
        <v>99.034350000000003</v>
      </c>
    </row>
    <row r="603" spans="1:11" x14ac:dyDescent="0.2">
      <c r="A603" s="15">
        <v>597</v>
      </c>
      <c r="B603" s="20">
        <v>1907</v>
      </c>
      <c r="C603" s="21" t="s">
        <v>277</v>
      </c>
      <c r="D603" s="22">
        <v>0.29835</v>
      </c>
      <c r="E603" s="22">
        <f t="shared" si="27"/>
        <v>0.29835</v>
      </c>
      <c r="F603" s="22"/>
      <c r="G603" s="22"/>
      <c r="H603" s="22"/>
      <c r="I603" s="22">
        <f t="shared" si="28"/>
        <v>0</v>
      </c>
      <c r="J603" s="22">
        <f t="shared" si="29"/>
        <v>0.29835</v>
      </c>
      <c r="K603" s="22"/>
    </row>
    <row r="604" spans="1:11" x14ac:dyDescent="0.2">
      <c r="A604" s="15">
        <v>598</v>
      </c>
      <c r="B604" s="20">
        <v>1908</v>
      </c>
      <c r="C604" s="21" t="s">
        <v>278</v>
      </c>
      <c r="D604" s="22">
        <v>0</v>
      </c>
      <c r="E604" s="22">
        <f t="shared" si="27"/>
        <v>0</v>
      </c>
      <c r="F604" s="22">
        <v>0</v>
      </c>
      <c r="G604" s="22">
        <v>0</v>
      </c>
      <c r="H604" s="22">
        <v>0</v>
      </c>
      <c r="I604" s="22">
        <f t="shared" si="28"/>
        <v>0</v>
      </c>
      <c r="J604" s="22">
        <f t="shared" si="29"/>
        <v>0</v>
      </c>
      <c r="K604" s="22">
        <v>1</v>
      </c>
    </row>
    <row r="605" spans="1:11" x14ac:dyDescent="0.2">
      <c r="A605" s="15">
        <v>599</v>
      </c>
      <c r="B605" s="20">
        <v>1910</v>
      </c>
      <c r="C605" s="21" t="s">
        <v>279</v>
      </c>
      <c r="D605" s="22">
        <v>0</v>
      </c>
      <c r="E605" s="22">
        <f t="shared" si="27"/>
        <v>0</v>
      </c>
      <c r="F605" s="22">
        <v>0</v>
      </c>
      <c r="G605" s="22">
        <v>0</v>
      </c>
      <c r="H605" s="22">
        <v>0</v>
      </c>
      <c r="I605" s="22">
        <f t="shared" si="28"/>
        <v>0</v>
      </c>
      <c r="J605" s="22">
        <f t="shared" si="29"/>
        <v>0</v>
      </c>
      <c r="K605" s="22">
        <v>0</v>
      </c>
    </row>
    <row r="606" spans="1:11" x14ac:dyDescent="0.2">
      <c r="A606" s="15">
        <v>600</v>
      </c>
      <c r="B606" s="20">
        <v>1990</v>
      </c>
      <c r="C606" s="21" t="s">
        <v>58</v>
      </c>
      <c r="D606" s="22">
        <v>27.009049999999998</v>
      </c>
      <c r="E606" s="22">
        <f t="shared" si="27"/>
        <v>27.009049999999998</v>
      </c>
      <c r="F606" s="22">
        <v>671.72862999999995</v>
      </c>
      <c r="G606" s="22">
        <v>21429.195090000001</v>
      </c>
      <c r="H606" s="22">
        <v>8326.5365199999997</v>
      </c>
      <c r="I606" s="22">
        <f t="shared" si="28"/>
        <v>30427.46024</v>
      </c>
      <c r="J606" s="22">
        <f t="shared" si="29"/>
        <v>30454.469290000001</v>
      </c>
      <c r="K606" s="22">
        <v>1041.0518999999999</v>
      </c>
    </row>
    <row r="607" spans="1:11" x14ac:dyDescent="0.2">
      <c r="A607" s="15">
        <v>601</v>
      </c>
      <c r="B607" s="20">
        <v>199005</v>
      </c>
      <c r="C607" s="21" t="s">
        <v>280</v>
      </c>
      <c r="D607" s="22">
        <v>4.8</v>
      </c>
      <c r="E607" s="22">
        <f t="shared" si="27"/>
        <v>4.8</v>
      </c>
      <c r="F607" s="22">
        <v>0</v>
      </c>
      <c r="G607" s="22">
        <v>239.63939999999999</v>
      </c>
      <c r="H607" s="22">
        <v>481.10250000000002</v>
      </c>
      <c r="I607" s="22">
        <f t="shared" si="28"/>
        <v>720.74189999999999</v>
      </c>
      <c r="J607" s="22">
        <f t="shared" si="29"/>
        <v>725.54189999999994</v>
      </c>
      <c r="K607" s="22">
        <v>955.13355999999999</v>
      </c>
    </row>
    <row r="608" spans="1:11" x14ac:dyDescent="0.2">
      <c r="A608" s="15">
        <v>602</v>
      </c>
      <c r="B608" s="20">
        <v>199010</v>
      </c>
      <c r="C608" s="21" t="s">
        <v>281</v>
      </c>
      <c r="D608" s="22">
        <v>0</v>
      </c>
      <c r="E608" s="22">
        <f t="shared" si="27"/>
        <v>0</v>
      </c>
      <c r="F608" s="22">
        <v>0</v>
      </c>
      <c r="G608" s="22">
        <v>0</v>
      </c>
      <c r="H608" s="22">
        <v>0</v>
      </c>
      <c r="I608" s="22">
        <f t="shared" si="28"/>
        <v>0</v>
      </c>
      <c r="J608" s="22">
        <f t="shared" si="29"/>
        <v>0</v>
      </c>
      <c r="K608" s="22">
        <v>0</v>
      </c>
    </row>
    <row r="609" spans="1:11" x14ac:dyDescent="0.2">
      <c r="A609" s="15">
        <v>603</v>
      </c>
      <c r="B609" s="20">
        <v>199015</v>
      </c>
      <c r="C609" s="21" t="s">
        <v>282</v>
      </c>
      <c r="D609" s="22">
        <v>2.6520000000000001</v>
      </c>
      <c r="E609" s="22">
        <f t="shared" si="27"/>
        <v>2.6520000000000001</v>
      </c>
      <c r="F609" s="22">
        <v>6.9184400000000004</v>
      </c>
      <c r="G609" s="22">
        <v>7.2980099999999997</v>
      </c>
      <c r="H609" s="22">
        <v>0.02</v>
      </c>
      <c r="I609" s="22">
        <f t="shared" si="28"/>
        <v>14.23645</v>
      </c>
      <c r="J609" s="22">
        <f t="shared" si="29"/>
        <v>16.888449999999999</v>
      </c>
      <c r="K609" s="22">
        <v>80.849760000000003</v>
      </c>
    </row>
    <row r="610" spans="1:11" x14ac:dyDescent="0.2">
      <c r="A610" s="15">
        <v>604</v>
      </c>
      <c r="B610" s="20">
        <v>199020</v>
      </c>
      <c r="C610" s="21" t="s">
        <v>283</v>
      </c>
      <c r="D610" s="22"/>
      <c r="E610" s="22">
        <f t="shared" si="27"/>
        <v>0</v>
      </c>
      <c r="F610" s="22"/>
      <c r="G610" s="22"/>
      <c r="H610" s="22"/>
      <c r="I610" s="22">
        <f t="shared" si="28"/>
        <v>0</v>
      </c>
      <c r="J610" s="22">
        <f t="shared" si="29"/>
        <v>0</v>
      </c>
      <c r="K610" s="22"/>
    </row>
    <row r="611" spans="1:11" x14ac:dyDescent="0.2">
      <c r="A611" s="15">
        <v>605</v>
      </c>
      <c r="B611" s="20">
        <v>199025</v>
      </c>
      <c r="C611" s="21" t="s">
        <v>284</v>
      </c>
      <c r="D611" s="22">
        <v>1.4142999999999999</v>
      </c>
      <c r="E611" s="22">
        <f t="shared" si="27"/>
        <v>1.4142999999999999</v>
      </c>
      <c r="F611" s="22">
        <v>0</v>
      </c>
      <c r="G611" s="22">
        <v>4.0554199999999998</v>
      </c>
      <c r="H611" s="22">
        <v>0</v>
      </c>
      <c r="I611" s="22">
        <f t="shared" si="28"/>
        <v>4.0554199999999998</v>
      </c>
      <c r="J611" s="22">
        <f t="shared" si="29"/>
        <v>5.4697199999999997</v>
      </c>
      <c r="K611" s="22">
        <v>0</v>
      </c>
    </row>
    <row r="612" spans="1:11" x14ac:dyDescent="0.2">
      <c r="A612" s="15">
        <v>606</v>
      </c>
      <c r="B612" s="20">
        <v>199090</v>
      </c>
      <c r="C612" s="21" t="s">
        <v>285</v>
      </c>
      <c r="D612" s="22">
        <v>18.142749999999999</v>
      </c>
      <c r="E612" s="22">
        <f t="shared" si="27"/>
        <v>18.142749999999999</v>
      </c>
      <c r="F612" s="22">
        <v>664.81019000000003</v>
      </c>
      <c r="G612" s="22">
        <v>21178.202259999998</v>
      </c>
      <c r="H612" s="22">
        <v>7845.4140200000002</v>
      </c>
      <c r="I612" s="22">
        <f t="shared" si="28"/>
        <v>29688.426469999999</v>
      </c>
      <c r="J612" s="22">
        <f t="shared" si="29"/>
        <v>29706.569219999998</v>
      </c>
      <c r="K612" s="22">
        <v>5.0685799999999999</v>
      </c>
    </row>
    <row r="613" spans="1:11" x14ac:dyDescent="0.2">
      <c r="A613" s="15">
        <v>607</v>
      </c>
      <c r="B613" s="20">
        <v>1999</v>
      </c>
      <c r="C613" s="21" t="s">
        <v>286</v>
      </c>
      <c r="D613" s="22">
        <v>-7524.29277</v>
      </c>
      <c r="E613" s="22">
        <f t="shared" si="27"/>
        <v>-7524.29277</v>
      </c>
      <c r="F613" s="22">
        <v>-6.9180000000000005E-2</v>
      </c>
      <c r="G613" s="22">
        <v>-1904.67794</v>
      </c>
      <c r="H613" s="22">
        <v>-4960.8184700000002</v>
      </c>
      <c r="I613" s="22">
        <f t="shared" si="28"/>
        <v>-6865.5655900000002</v>
      </c>
      <c r="J613" s="22">
        <f t="shared" si="29"/>
        <v>-14389.85836</v>
      </c>
      <c r="K613" s="22">
        <v>-25.44472</v>
      </c>
    </row>
    <row r="614" spans="1:11" x14ac:dyDescent="0.2">
      <c r="A614" s="15">
        <v>608</v>
      </c>
      <c r="B614" s="20">
        <v>199905</v>
      </c>
      <c r="C614" s="21" t="s">
        <v>287</v>
      </c>
      <c r="D614" s="22">
        <v>-67.764229999999998</v>
      </c>
      <c r="E614" s="22">
        <f t="shared" si="27"/>
        <v>-67.764229999999998</v>
      </c>
      <c r="F614" s="22">
        <v>0</v>
      </c>
      <c r="G614" s="22">
        <v>-112.03876</v>
      </c>
      <c r="H614" s="22">
        <v>-4535.8711800000001</v>
      </c>
      <c r="I614" s="22">
        <f t="shared" si="28"/>
        <v>-4647.9099400000005</v>
      </c>
      <c r="J614" s="22">
        <f t="shared" si="29"/>
        <v>-4715.6741700000002</v>
      </c>
      <c r="K614" s="22"/>
    </row>
    <row r="615" spans="1:11" x14ac:dyDescent="0.2">
      <c r="A615" s="15">
        <v>609</v>
      </c>
      <c r="B615" s="20">
        <v>199910</v>
      </c>
      <c r="C615" s="21" t="s">
        <v>288</v>
      </c>
      <c r="D615" s="22">
        <v>-7434.3191900000002</v>
      </c>
      <c r="E615" s="22">
        <f t="shared" si="27"/>
        <v>-7434.3191900000002</v>
      </c>
      <c r="F615" s="22">
        <v>0</v>
      </c>
      <c r="G615" s="22">
        <v>0</v>
      </c>
      <c r="H615" s="22">
        <v>-294.50934999999998</v>
      </c>
      <c r="I615" s="22">
        <f t="shared" si="28"/>
        <v>-294.50934999999998</v>
      </c>
      <c r="J615" s="22">
        <f t="shared" si="29"/>
        <v>-7728.8285400000004</v>
      </c>
      <c r="K615" s="22"/>
    </row>
    <row r="616" spans="1:11" x14ac:dyDescent="0.2">
      <c r="A616" s="15">
        <v>610</v>
      </c>
      <c r="B616" s="20">
        <v>199990</v>
      </c>
      <c r="C616" s="21" t="s">
        <v>289</v>
      </c>
      <c r="D616" s="22">
        <v>-22.209350000000001</v>
      </c>
      <c r="E616" s="22">
        <f t="shared" si="27"/>
        <v>-22.209350000000001</v>
      </c>
      <c r="F616" s="22">
        <v>-6.9180000000000005E-2</v>
      </c>
      <c r="G616" s="22">
        <v>-1792.6391799999999</v>
      </c>
      <c r="H616" s="22">
        <v>-130.43794</v>
      </c>
      <c r="I616" s="22">
        <f t="shared" si="28"/>
        <v>-1923.1462999999999</v>
      </c>
      <c r="J616" s="22">
        <f t="shared" si="29"/>
        <v>-1945.35565</v>
      </c>
      <c r="K616" s="22">
        <v>-25.44472</v>
      </c>
    </row>
    <row r="617" spans="1:11" x14ac:dyDescent="0.2">
      <c r="A617" s="15">
        <v>611</v>
      </c>
      <c r="B617" s="20"/>
      <c r="C617" s="21" t="s">
        <v>290</v>
      </c>
      <c r="D617" s="22">
        <v>260130.65908000001</v>
      </c>
      <c r="E617" s="22">
        <f t="shared" si="27"/>
        <v>260130.65908000001</v>
      </c>
      <c r="F617" s="22">
        <v>1377321.1102499999</v>
      </c>
      <c r="G617" s="22">
        <v>1514532.4000800001</v>
      </c>
      <c r="H617" s="22">
        <v>2227612.5454500001</v>
      </c>
      <c r="I617" s="22">
        <f t="shared" si="28"/>
        <v>5119466.0557800001</v>
      </c>
      <c r="J617" s="22">
        <f t="shared" si="29"/>
        <v>5379596.7148599997</v>
      </c>
      <c r="K617" s="22">
        <v>408331.20366</v>
      </c>
    </row>
    <row r="618" spans="1:11" x14ac:dyDescent="0.2">
      <c r="A618" s="15">
        <v>612</v>
      </c>
      <c r="B618" s="20"/>
      <c r="C618" s="21"/>
      <c r="D618" s="22"/>
      <c r="E618" s="22">
        <f t="shared" si="27"/>
        <v>0</v>
      </c>
      <c r="F618" s="22"/>
      <c r="G618" s="22"/>
      <c r="H618" s="22"/>
      <c r="I618" s="22">
        <f t="shared" si="28"/>
        <v>0</v>
      </c>
      <c r="J618" s="22">
        <f t="shared" si="29"/>
        <v>0</v>
      </c>
      <c r="K618" s="22"/>
    </row>
    <row r="619" spans="1:11" x14ac:dyDescent="0.2">
      <c r="A619" s="15">
        <v>613</v>
      </c>
      <c r="B619" s="20">
        <v>4</v>
      </c>
      <c r="C619" s="21" t="s">
        <v>291</v>
      </c>
      <c r="D619" s="22">
        <v>22780.313569999998</v>
      </c>
      <c r="E619" s="22">
        <f t="shared" si="27"/>
        <v>22780.313569999998</v>
      </c>
      <c r="F619" s="22">
        <v>22422.583849999999</v>
      </c>
      <c r="G619" s="22">
        <v>105065.58886</v>
      </c>
      <c r="H619" s="22">
        <v>101112.71661</v>
      </c>
      <c r="I619" s="22">
        <f t="shared" si="28"/>
        <v>228600.88932000002</v>
      </c>
      <c r="J619" s="22">
        <f t="shared" si="29"/>
        <v>251381.20289000002</v>
      </c>
      <c r="K619" s="22">
        <v>8765.0713199999991</v>
      </c>
    </row>
    <row r="620" spans="1:11" x14ac:dyDescent="0.2">
      <c r="A620" s="15">
        <v>614</v>
      </c>
      <c r="B620" s="20"/>
      <c r="C620" s="21"/>
      <c r="D620" s="22"/>
      <c r="E620" s="22">
        <f t="shared" si="27"/>
        <v>0</v>
      </c>
      <c r="F620" s="22"/>
      <c r="G620" s="22"/>
      <c r="H620" s="22"/>
      <c r="I620" s="22">
        <f t="shared" si="28"/>
        <v>0</v>
      </c>
      <c r="J620" s="22">
        <f t="shared" si="29"/>
        <v>0</v>
      </c>
      <c r="K620" s="22"/>
    </row>
    <row r="621" spans="1:11" x14ac:dyDescent="0.2">
      <c r="A621" s="15">
        <v>615</v>
      </c>
      <c r="B621" s="20"/>
      <c r="C621" s="21" t="s">
        <v>292</v>
      </c>
      <c r="D621" s="22">
        <v>282910.97265000001</v>
      </c>
      <c r="E621" s="22">
        <f t="shared" si="27"/>
        <v>282910.97265000001</v>
      </c>
      <c r="F621" s="22">
        <v>1399743.6941</v>
      </c>
      <c r="G621" s="22">
        <v>1619597.9889400001</v>
      </c>
      <c r="H621" s="22">
        <v>2328725.2620600001</v>
      </c>
      <c r="I621" s="22">
        <f t="shared" si="28"/>
        <v>5348066.9451000001</v>
      </c>
      <c r="J621" s="22">
        <f t="shared" si="29"/>
        <v>5630977.91775</v>
      </c>
      <c r="K621" s="22">
        <v>417096.27497999999</v>
      </c>
    </row>
    <row r="622" spans="1:11" x14ac:dyDescent="0.2">
      <c r="A622" s="15">
        <v>616</v>
      </c>
      <c r="B622" s="20"/>
      <c r="C622" s="21"/>
      <c r="D622" s="22"/>
      <c r="E622" s="22">
        <f t="shared" si="27"/>
        <v>0</v>
      </c>
      <c r="F622" s="22"/>
      <c r="G622" s="22"/>
      <c r="H622" s="22"/>
      <c r="I622" s="22">
        <f t="shared" si="28"/>
        <v>0</v>
      </c>
      <c r="J622" s="22">
        <f t="shared" si="29"/>
        <v>0</v>
      </c>
      <c r="K622" s="22"/>
    </row>
    <row r="623" spans="1:11" x14ac:dyDescent="0.2">
      <c r="A623" s="15">
        <v>617</v>
      </c>
      <c r="B623" s="20">
        <v>2</v>
      </c>
      <c r="C623" s="21" t="s">
        <v>293</v>
      </c>
      <c r="D623" s="22"/>
      <c r="E623" s="22">
        <f t="shared" si="27"/>
        <v>0</v>
      </c>
      <c r="F623" s="22"/>
      <c r="G623" s="22"/>
      <c r="H623" s="22"/>
      <c r="I623" s="22">
        <f t="shared" si="28"/>
        <v>0</v>
      </c>
      <c r="J623" s="22">
        <f t="shared" si="29"/>
        <v>0</v>
      </c>
      <c r="K623" s="22"/>
    </row>
    <row r="624" spans="1:11" x14ac:dyDescent="0.2">
      <c r="A624" s="15">
        <v>618</v>
      </c>
      <c r="B624" s="20">
        <v>21</v>
      </c>
      <c r="C624" s="21" t="s">
        <v>294</v>
      </c>
      <c r="D624" s="22">
        <v>160006.48314999999</v>
      </c>
      <c r="E624" s="22">
        <f t="shared" si="27"/>
        <v>160006.48314999999</v>
      </c>
      <c r="F624" s="22">
        <v>427092.83601000003</v>
      </c>
      <c r="G624" s="22">
        <v>1006696.77302</v>
      </c>
      <c r="H624" s="22">
        <v>1181384.28309</v>
      </c>
      <c r="I624" s="22">
        <f t="shared" si="28"/>
        <v>2615173.89212</v>
      </c>
      <c r="J624" s="22">
        <f t="shared" si="29"/>
        <v>2775180.3752699997</v>
      </c>
      <c r="K624" s="22"/>
    </row>
    <row r="625" spans="1:11" x14ac:dyDescent="0.2">
      <c r="A625" s="15">
        <v>619</v>
      </c>
      <c r="B625" s="20">
        <v>2101</v>
      </c>
      <c r="C625" s="21" t="s">
        <v>295</v>
      </c>
      <c r="D625" s="22">
        <v>20782.49872</v>
      </c>
      <c r="E625" s="22">
        <f t="shared" si="27"/>
        <v>20782.49872</v>
      </c>
      <c r="F625" s="22">
        <v>0</v>
      </c>
      <c r="G625" s="22">
        <v>692955.14200999995</v>
      </c>
      <c r="H625" s="22">
        <v>0</v>
      </c>
      <c r="I625" s="22">
        <f t="shared" si="28"/>
        <v>692955.14200999995</v>
      </c>
      <c r="J625" s="22">
        <f t="shared" si="29"/>
        <v>713737.64072999998</v>
      </c>
      <c r="K625" s="22"/>
    </row>
    <row r="626" spans="1:11" x14ac:dyDescent="0.2">
      <c r="A626" s="15">
        <v>620</v>
      </c>
      <c r="B626" s="20">
        <v>210105</v>
      </c>
      <c r="C626" s="21" t="s">
        <v>296</v>
      </c>
      <c r="D626" s="22"/>
      <c r="E626" s="22">
        <f t="shared" si="27"/>
        <v>0</v>
      </c>
      <c r="F626" s="22"/>
      <c r="G626" s="22">
        <v>158137.02578</v>
      </c>
      <c r="H626" s="22"/>
      <c r="I626" s="22">
        <f t="shared" si="28"/>
        <v>158137.02578</v>
      </c>
      <c r="J626" s="22">
        <f t="shared" si="29"/>
        <v>158137.02578</v>
      </c>
      <c r="K626" s="22"/>
    </row>
    <row r="627" spans="1:11" x14ac:dyDescent="0.2">
      <c r="A627" s="15">
        <v>621</v>
      </c>
      <c r="B627" s="20">
        <v>210110</v>
      </c>
      <c r="C627" s="21" t="s">
        <v>297</v>
      </c>
      <c r="D627" s="22"/>
      <c r="E627" s="22">
        <f t="shared" si="27"/>
        <v>0</v>
      </c>
      <c r="F627" s="22"/>
      <c r="G627" s="22">
        <v>50962.883370000003</v>
      </c>
      <c r="H627" s="22"/>
      <c r="I627" s="22">
        <f t="shared" si="28"/>
        <v>50962.883370000003</v>
      </c>
      <c r="J627" s="22">
        <f t="shared" si="29"/>
        <v>50962.883370000003</v>
      </c>
      <c r="K627" s="22"/>
    </row>
    <row r="628" spans="1:11" x14ac:dyDescent="0.2">
      <c r="A628" s="15">
        <v>622</v>
      </c>
      <c r="B628" s="20">
        <v>210115</v>
      </c>
      <c r="C628" s="21" t="s">
        <v>298</v>
      </c>
      <c r="D628" s="22"/>
      <c r="E628" s="22">
        <f t="shared" si="27"/>
        <v>0</v>
      </c>
      <c r="F628" s="22"/>
      <c r="G628" s="22">
        <v>4033.9656799999998</v>
      </c>
      <c r="H628" s="22"/>
      <c r="I628" s="22">
        <f t="shared" si="28"/>
        <v>4033.9656799999998</v>
      </c>
      <c r="J628" s="22">
        <f t="shared" si="29"/>
        <v>4033.9656799999998</v>
      </c>
      <c r="K628" s="22"/>
    </row>
    <row r="629" spans="1:11" x14ac:dyDescent="0.2">
      <c r="A629" s="15">
        <v>623</v>
      </c>
      <c r="B629" s="20">
        <v>210120</v>
      </c>
      <c r="C629" s="21" t="s">
        <v>299</v>
      </c>
      <c r="D629" s="22"/>
      <c r="E629" s="22">
        <f t="shared" si="27"/>
        <v>0</v>
      </c>
      <c r="F629" s="22"/>
      <c r="G629" s="22">
        <v>0</v>
      </c>
      <c r="H629" s="22"/>
      <c r="I629" s="22">
        <f t="shared" si="28"/>
        <v>0</v>
      </c>
      <c r="J629" s="22">
        <f t="shared" si="29"/>
        <v>0</v>
      </c>
      <c r="K629" s="22"/>
    </row>
    <row r="630" spans="1:11" x14ac:dyDescent="0.2">
      <c r="A630" s="15">
        <v>624</v>
      </c>
      <c r="B630" s="20">
        <v>210125</v>
      </c>
      <c r="C630" s="21" t="s">
        <v>300</v>
      </c>
      <c r="D630" s="22"/>
      <c r="E630" s="22">
        <f t="shared" si="27"/>
        <v>0</v>
      </c>
      <c r="F630" s="22"/>
      <c r="G630" s="22">
        <v>2312.6905700000002</v>
      </c>
      <c r="H630" s="22"/>
      <c r="I630" s="22">
        <f t="shared" si="28"/>
        <v>2312.6905700000002</v>
      </c>
      <c r="J630" s="22">
        <f t="shared" si="29"/>
        <v>2312.6905700000002</v>
      </c>
      <c r="K630" s="22"/>
    </row>
    <row r="631" spans="1:11" x14ac:dyDescent="0.2">
      <c r="A631" s="15">
        <v>625</v>
      </c>
      <c r="B631" s="20">
        <v>210130</v>
      </c>
      <c r="C631" s="21" t="s">
        <v>301</v>
      </c>
      <c r="D631" s="22"/>
      <c r="E631" s="22">
        <f t="shared" si="27"/>
        <v>0</v>
      </c>
      <c r="F631" s="22"/>
      <c r="G631" s="22">
        <v>414.96645999999998</v>
      </c>
      <c r="H631" s="22"/>
      <c r="I631" s="22">
        <f t="shared" si="28"/>
        <v>414.96645999999998</v>
      </c>
      <c r="J631" s="22">
        <f t="shared" si="29"/>
        <v>414.96645999999998</v>
      </c>
      <c r="K631" s="22"/>
    </row>
    <row r="632" spans="1:11" x14ac:dyDescent="0.2">
      <c r="A632" s="15">
        <v>626</v>
      </c>
      <c r="B632" s="20">
        <v>210135</v>
      </c>
      <c r="C632" s="21" t="s">
        <v>302</v>
      </c>
      <c r="D632" s="22">
        <v>20778.626179999999</v>
      </c>
      <c r="E632" s="22">
        <f t="shared" si="27"/>
        <v>20778.626179999999</v>
      </c>
      <c r="F632" s="22"/>
      <c r="G632" s="22">
        <v>340328.83038</v>
      </c>
      <c r="H632" s="22"/>
      <c r="I632" s="22">
        <f t="shared" si="28"/>
        <v>340328.83038</v>
      </c>
      <c r="J632" s="22">
        <f t="shared" si="29"/>
        <v>361107.45656000002</v>
      </c>
      <c r="K632" s="22"/>
    </row>
    <row r="633" spans="1:11" x14ac:dyDescent="0.2">
      <c r="A633" s="15">
        <v>627</v>
      </c>
      <c r="B633" s="20">
        <v>210140</v>
      </c>
      <c r="C633" s="21" t="s">
        <v>303</v>
      </c>
      <c r="D633" s="22">
        <v>0</v>
      </c>
      <c r="E633" s="22">
        <f t="shared" si="27"/>
        <v>0</v>
      </c>
      <c r="F633" s="22">
        <v>0</v>
      </c>
      <c r="G633" s="22">
        <v>132861.15541000001</v>
      </c>
      <c r="H633" s="22">
        <v>0</v>
      </c>
      <c r="I633" s="22">
        <f t="shared" si="28"/>
        <v>132861.15541000001</v>
      </c>
      <c r="J633" s="22">
        <f t="shared" si="29"/>
        <v>132861.15541000001</v>
      </c>
      <c r="K633" s="22"/>
    </row>
    <row r="634" spans="1:11" x14ac:dyDescent="0.2">
      <c r="A634" s="15">
        <v>628</v>
      </c>
      <c r="B634" s="20">
        <v>210145</v>
      </c>
      <c r="C634" s="21" t="s">
        <v>304</v>
      </c>
      <c r="D634" s="22"/>
      <c r="E634" s="22">
        <f t="shared" si="27"/>
        <v>0</v>
      </c>
      <c r="F634" s="22"/>
      <c r="G634" s="22"/>
      <c r="H634" s="22"/>
      <c r="I634" s="22">
        <f t="shared" si="28"/>
        <v>0</v>
      </c>
      <c r="J634" s="22">
        <f t="shared" si="29"/>
        <v>0</v>
      </c>
      <c r="K634" s="22"/>
    </row>
    <row r="635" spans="1:11" x14ac:dyDescent="0.2">
      <c r="A635" s="15">
        <v>629</v>
      </c>
      <c r="B635" s="20">
        <v>210150</v>
      </c>
      <c r="C635" s="21" t="s">
        <v>305</v>
      </c>
      <c r="D635" s="22">
        <v>3.8725399999999999</v>
      </c>
      <c r="E635" s="22">
        <f t="shared" si="27"/>
        <v>3.8725399999999999</v>
      </c>
      <c r="F635" s="22"/>
      <c r="G635" s="22">
        <v>3903.6243599999998</v>
      </c>
      <c r="H635" s="22">
        <v>0</v>
      </c>
      <c r="I635" s="22">
        <f t="shared" si="28"/>
        <v>3903.6243599999998</v>
      </c>
      <c r="J635" s="22">
        <f t="shared" si="29"/>
        <v>3907.4968999999996</v>
      </c>
      <c r="K635" s="22"/>
    </row>
    <row r="636" spans="1:11" x14ac:dyDescent="0.2">
      <c r="A636" s="15">
        <v>630</v>
      </c>
      <c r="B636" s="20">
        <v>210155</v>
      </c>
      <c r="C636" s="21" t="s">
        <v>306</v>
      </c>
      <c r="D636" s="22">
        <v>0</v>
      </c>
      <c r="E636" s="22">
        <f t="shared" si="27"/>
        <v>0</v>
      </c>
      <c r="F636" s="22"/>
      <c r="G636" s="22">
        <v>0</v>
      </c>
      <c r="H636" s="22"/>
      <c r="I636" s="22">
        <f t="shared" si="28"/>
        <v>0</v>
      </c>
      <c r="J636" s="22">
        <f t="shared" si="29"/>
        <v>0</v>
      </c>
      <c r="K636" s="22"/>
    </row>
    <row r="637" spans="1:11" x14ac:dyDescent="0.2">
      <c r="A637" s="15">
        <v>631</v>
      </c>
      <c r="B637" s="20">
        <v>2102</v>
      </c>
      <c r="C637" s="21" t="s">
        <v>307</v>
      </c>
      <c r="D637" s="22">
        <v>0</v>
      </c>
      <c r="E637" s="22">
        <f t="shared" si="27"/>
        <v>0</v>
      </c>
      <c r="F637" s="22">
        <v>0</v>
      </c>
      <c r="G637" s="22">
        <v>0</v>
      </c>
      <c r="H637" s="22">
        <v>0</v>
      </c>
      <c r="I637" s="22">
        <f t="shared" si="28"/>
        <v>0</v>
      </c>
      <c r="J637" s="22">
        <f t="shared" si="29"/>
        <v>0</v>
      </c>
      <c r="K637" s="22"/>
    </row>
    <row r="638" spans="1:11" x14ac:dyDescent="0.2">
      <c r="A638" s="15">
        <v>632</v>
      </c>
      <c r="B638" s="20">
        <v>210205</v>
      </c>
      <c r="C638" s="21" t="s">
        <v>308</v>
      </c>
      <c r="D638" s="22">
        <v>0</v>
      </c>
      <c r="E638" s="22">
        <f t="shared" si="27"/>
        <v>0</v>
      </c>
      <c r="F638" s="22">
        <v>0</v>
      </c>
      <c r="G638" s="22">
        <v>0</v>
      </c>
      <c r="H638" s="22">
        <v>0</v>
      </c>
      <c r="I638" s="22">
        <f t="shared" si="28"/>
        <v>0</v>
      </c>
      <c r="J638" s="22">
        <f t="shared" si="29"/>
        <v>0</v>
      </c>
      <c r="K638" s="22"/>
    </row>
    <row r="639" spans="1:11" x14ac:dyDescent="0.2">
      <c r="A639" s="15">
        <v>633</v>
      </c>
      <c r="B639" s="20">
        <v>210210</v>
      </c>
      <c r="C639" s="21" t="s">
        <v>309</v>
      </c>
      <c r="D639" s="22">
        <v>0</v>
      </c>
      <c r="E639" s="22">
        <f t="shared" si="27"/>
        <v>0</v>
      </c>
      <c r="F639" s="22">
        <v>0</v>
      </c>
      <c r="G639" s="22">
        <v>0</v>
      </c>
      <c r="H639" s="22">
        <v>0</v>
      </c>
      <c r="I639" s="22">
        <f t="shared" si="28"/>
        <v>0</v>
      </c>
      <c r="J639" s="22">
        <f t="shared" si="29"/>
        <v>0</v>
      </c>
      <c r="K639" s="22"/>
    </row>
    <row r="640" spans="1:11" x14ac:dyDescent="0.2">
      <c r="A640" s="15">
        <v>634</v>
      </c>
      <c r="B640" s="20">
        <v>210215</v>
      </c>
      <c r="C640" s="21" t="s">
        <v>310</v>
      </c>
      <c r="D640" s="22">
        <v>0</v>
      </c>
      <c r="E640" s="22">
        <f t="shared" si="27"/>
        <v>0</v>
      </c>
      <c r="F640" s="22">
        <v>0</v>
      </c>
      <c r="G640" s="22">
        <v>0</v>
      </c>
      <c r="H640" s="22">
        <v>0</v>
      </c>
      <c r="I640" s="22">
        <f t="shared" si="28"/>
        <v>0</v>
      </c>
      <c r="J640" s="22">
        <f t="shared" si="29"/>
        <v>0</v>
      </c>
      <c r="K640" s="22"/>
    </row>
    <row r="641" spans="1:11" x14ac:dyDescent="0.2">
      <c r="A641" s="15">
        <v>635</v>
      </c>
      <c r="B641" s="20">
        <v>2103</v>
      </c>
      <c r="C641" s="21" t="s">
        <v>311</v>
      </c>
      <c r="D641" s="22">
        <v>112499.99999</v>
      </c>
      <c r="E641" s="22">
        <f t="shared" si="27"/>
        <v>112499.99999</v>
      </c>
      <c r="F641" s="22">
        <v>427092.83601000003</v>
      </c>
      <c r="G641" s="22">
        <v>312474.36018999998</v>
      </c>
      <c r="H641" s="22">
        <v>1181384.28309</v>
      </c>
      <c r="I641" s="22">
        <f t="shared" si="28"/>
        <v>1920951.4792900002</v>
      </c>
      <c r="J641" s="22">
        <f t="shared" si="29"/>
        <v>2033451.4792800001</v>
      </c>
      <c r="K641" s="22"/>
    </row>
    <row r="642" spans="1:11" x14ac:dyDescent="0.2">
      <c r="A642" s="15">
        <v>636</v>
      </c>
      <c r="B642" s="20">
        <v>210305</v>
      </c>
      <c r="C642" s="21" t="s">
        <v>38</v>
      </c>
      <c r="D642" s="22">
        <v>0</v>
      </c>
      <c r="E642" s="22">
        <f t="shared" si="27"/>
        <v>0</v>
      </c>
      <c r="F642" s="22">
        <v>25407.11003</v>
      </c>
      <c r="G642" s="22">
        <v>21165.806140000001</v>
      </c>
      <c r="H642" s="22">
        <v>93304.922439999995</v>
      </c>
      <c r="I642" s="22">
        <f t="shared" si="28"/>
        <v>139877.83860999998</v>
      </c>
      <c r="J642" s="22">
        <f t="shared" si="29"/>
        <v>139877.83860999998</v>
      </c>
      <c r="K642" s="22"/>
    </row>
    <row r="643" spans="1:11" x14ac:dyDescent="0.2">
      <c r="A643" s="15">
        <v>637</v>
      </c>
      <c r="B643" s="20">
        <v>210310</v>
      </c>
      <c r="C643" s="21" t="s">
        <v>39</v>
      </c>
      <c r="D643" s="22">
        <v>16666.666669999999</v>
      </c>
      <c r="E643" s="22">
        <f t="shared" si="27"/>
        <v>16666.666669999999</v>
      </c>
      <c r="F643" s="22">
        <v>135286.94691</v>
      </c>
      <c r="G643" s="22">
        <v>61539.078979999998</v>
      </c>
      <c r="H643" s="22">
        <v>232453.05348999999</v>
      </c>
      <c r="I643" s="22">
        <f t="shared" si="28"/>
        <v>429279.07938000001</v>
      </c>
      <c r="J643" s="22">
        <f t="shared" si="29"/>
        <v>445945.74605000002</v>
      </c>
      <c r="K643" s="22"/>
    </row>
    <row r="644" spans="1:11" x14ac:dyDescent="0.2">
      <c r="A644" s="15">
        <v>638</v>
      </c>
      <c r="B644" s="20">
        <v>210315</v>
      </c>
      <c r="C644" s="21" t="s">
        <v>40</v>
      </c>
      <c r="D644" s="22">
        <v>16071.42857</v>
      </c>
      <c r="E644" s="22">
        <f t="shared" si="27"/>
        <v>16071.42857</v>
      </c>
      <c r="F644" s="22">
        <v>56238.230909999998</v>
      </c>
      <c r="G644" s="22">
        <v>24416.074970000001</v>
      </c>
      <c r="H644" s="22">
        <v>281409.41298999998</v>
      </c>
      <c r="I644" s="22">
        <f t="shared" si="28"/>
        <v>362063.71886999998</v>
      </c>
      <c r="J644" s="22">
        <f t="shared" si="29"/>
        <v>378135.14743999997</v>
      </c>
      <c r="K644" s="22"/>
    </row>
    <row r="645" spans="1:11" x14ac:dyDescent="0.2">
      <c r="A645" s="15">
        <v>639</v>
      </c>
      <c r="B645" s="20">
        <v>210320</v>
      </c>
      <c r="C645" s="21" t="s">
        <v>41</v>
      </c>
      <c r="D645" s="22">
        <v>26785.71428</v>
      </c>
      <c r="E645" s="22">
        <f t="shared" si="27"/>
        <v>26785.71428</v>
      </c>
      <c r="F645" s="22">
        <v>31460.548190000001</v>
      </c>
      <c r="G645" s="22">
        <v>25355.663570000001</v>
      </c>
      <c r="H645" s="22">
        <v>93524.204339999997</v>
      </c>
      <c r="I645" s="22">
        <f t="shared" si="28"/>
        <v>150340.4161</v>
      </c>
      <c r="J645" s="22">
        <f t="shared" si="29"/>
        <v>177126.13037999999</v>
      </c>
      <c r="K645" s="22"/>
    </row>
    <row r="646" spans="1:11" x14ac:dyDescent="0.2">
      <c r="A646" s="15">
        <v>640</v>
      </c>
      <c r="B646" s="20">
        <v>210325</v>
      </c>
      <c r="C646" s="21" t="s">
        <v>312</v>
      </c>
      <c r="D646" s="22">
        <v>52976.190470000001</v>
      </c>
      <c r="E646" s="22">
        <f t="shared" si="27"/>
        <v>52976.190470000001</v>
      </c>
      <c r="F646" s="22">
        <v>178699.99997</v>
      </c>
      <c r="G646" s="22">
        <v>179977.73652999999</v>
      </c>
      <c r="H646" s="22">
        <v>480692.68982999999</v>
      </c>
      <c r="I646" s="22">
        <f t="shared" si="28"/>
        <v>839370.42632999993</v>
      </c>
      <c r="J646" s="22">
        <f t="shared" si="29"/>
        <v>892346.61679999996</v>
      </c>
      <c r="K646" s="22"/>
    </row>
    <row r="647" spans="1:11" x14ac:dyDescent="0.2">
      <c r="A647" s="15">
        <v>641</v>
      </c>
      <c r="B647" s="20">
        <v>210330</v>
      </c>
      <c r="C647" s="21" t="s">
        <v>305</v>
      </c>
      <c r="D647" s="22">
        <v>0</v>
      </c>
      <c r="E647" s="22">
        <f t="shared" si="27"/>
        <v>0</v>
      </c>
      <c r="F647" s="22">
        <v>0</v>
      </c>
      <c r="G647" s="22">
        <v>20</v>
      </c>
      <c r="H647" s="22">
        <v>0</v>
      </c>
      <c r="I647" s="22">
        <f t="shared" si="28"/>
        <v>20</v>
      </c>
      <c r="J647" s="22">
        <f t="shared" si="29"/>
        <v>20</v>
      </c>
      <c r="K647" s="22"/>
    </row>
    <row r="648" spans="1:11" x14ac:dyDescent="0.2">
      <c r="A648" s="15">
        <v>642</v>
      </c>
      <c r="B648" s="20">
        <v>2104</v>
      </c>
      <c r="C648" s="21" t="s">
        <v>313</v>
      </c>
      <c r="D648" s="22">
        <v>26723.98444</v>
      </c>
      <c r="E648" s="22">
        <f t="shared" si="27"/>
        <v>26723.98444</v>
      </c>
      <c r="F648" s="22">
        <v>0</v>
      </c>
      <c r="G648" s="22">
        <v>1267.27082</v>
      </c>
      <c r="H648" s="22"/>
      <c r="I648" s="22">
        <f t="shared" si="28"/>
        <v>1267.27082</v>
      </c>
      <c r="J648" s="22">
        <f t="shared" si="29"/>
        <v>27991.255260000002</v>
      </c>
      <c r="K648" s="22"/>
    </row>
    <row r="649" spans="1:11" x14ac:dyDescent="0.2">
      <c r="A649" s="15">
        <v>643</v>
      </c>
      <c r="B649" s="20">
        <v>2105</v>
      </c>
      <c r="C649" s="21" t="s">
        <v>314</v>
      </c>
      <c r="D649" s="22">
        <v>0</v>
      </c>
      <c r="E649" s="22">
        <f t="shared" si="27"/>
        <v>0</v>
      </c>
      <c r="F649" s="22">
        <v>0</v>
      </c>
      <c r="G649" s="22">
        <v>0</v>
      </c>
      <c r="H649" s="22">
        <v>0</v>
      </c>
      <c r="I649" s="22">
        <f t="shared" si="28"/>
        <v>0</v>
      </c>
      <c r="J649" s="22">
        <f t="shared" si="29"/>
        <v>0</v>
      </c>
      <c r="K649" s="22"/>
    </row>
    <row r="650" spans="1:11" x14ac:dyDescent="0.2">
      <c r="A650" s="15">
        <v>644</v>
      </c>
      <c r="B650" s="20">
        <v>22</v>
      </c>
      <c r="C650" s="21" t="s">
        <v>29</v>
      </c>
      <c r="D650" s="22">
        <v>0</v>
      </c>
      <c r="E650" s="22">
        <f t="shared" ref="E650:E713" si="30">+D650</f>
        <v>0</v>
      </c>
      <c r="F650" s="22">
        <v>0</v>
      </c>
      <c r="G650" s="22">
        <v>0</v>
      </c>
      <c r="H650" s="22">
        <v>655</v>
      </c>
      <c r="I650" s="22">
        <f t="shared" ref="I650:I713" si="31">+SUM(F650:H650)</f>
        <v>655</v>
      </c>
      <c r="J650" s="22">
        <f t="shared" ref="J650:J713" si="32">+E650+I650</f>
        <v>655</v>
      </c>
      <c r="K650" s="22"/>
    </row>
    <row r="651" spans="1:11" x14ac:dyDescent="0.2">
      <c r="A651" s="15">
        <v>645</v>
      </c>
      <c r="B651" s="20">
        <v>2201</v>
      </c>
      <c r="C651" s="21" t="s">
        <v>315</v>
      </c>
      <c r="D651" s="22">
        <v>0</v>
      </c>
      <c r="E651" s="22">
        <f t="shared" si="30"/>
        <v>0</v>
      </c>
      <c r="F651" s="22">
        <v>0</v>
      </c>
      <c r="G651" s="22">
        <v>0</v>
      </c>
      <c r="H651" s="22">
        <v>0</v>
      </c>
      <c r="I651" s="22">
        <f t="shared" si="31"/>
        <v>0</v>
      </c>
      <c r="J651" s="22">
        <f t="shared" si="32"/>
        <v>0</v>
      </c>
      <c r="K651" s="22"/>
    </row>
    <row r="652" spans="1:11" x14ac:dyDescent="0.2">
      <c r="A652" s="15">
        <v>646</v>
      </c>
      <c r="B652" s="20">
        <v>220105</v>
      </c>
      <c r="C652" s="21" t="s">
        <v>31</v>
      </c>
      <c r="D652" s="22">
        <v>0</v>
      </c>
      <c r="E652" s="22">
        <f t="shared" si="30"/>
        <v>0</v>
      </c>
      <c r="F652" s="22">
        <v>0</v>
      </c>
      <c r="G652" s="22">
        <v>0</v>
      </c>
      <c r="H652" s="22">
        <v>0</v>
      </c>
      <c r="I652" s="22">
        <f t="shared" si="31"/>
        <v>0</v>
      </c>
      <c r="J652" s="22">
        <f t="shared" si="32"/>
        <v>0</v>
      </c>
      <c r="K652" s="22"/>
    </row>
    <row r="653" spans="1:11" x14ac:dyDescent="0.2">
      <c r="A653" s="15">
        <v>647</v>
      </c>
      <c r="B653" s="20">
        <v>220110</v>
      </c>
      <c r="C653" s="21" t="s">
        <v>32</v>
      </c>
      <c r="D653" s="22">
        <v>0</v>
      </c>
      <c r="E653" s="22">
        <f t="shared" si="30"/>
        <v>0</v>
      </c>
      <c r="F653" s="22">
        <v>0</v>
      </c>
      <c r="G653" s="22">
        <v>0</v>
      </c>
      <c r="H653" s="22">
        <v>0</v>
      </c>
      <c r="I653" s="22">
        <f t="shared" si="31"/>
        <v>0</v>
      </c>
      <c r="J653" s="22">
        <f t="shared" si="32"/>
        <v>0</v>
      </c>
      <c r="K653" s="22"/>
    </row>
    <row r="654" spans="1:11" x14ac:dyDescent="0.2">
      <c r="A654" s="15">
        <v>648</v>
      </c>
      <c r="B654" s="20">
        <v>2202</v>
      </c>
      <c r="C654" s="21" t="s">
        <v>33</v>
      </c>
      <c r="D654" s="22">
        <v>0</v>
      </c>
      <c r="E654" s="22">
        <f t="shared" si="30"/>
        <v>0</v>
      </c>
      <c r="F654" s="22">
        <v>0</v>
      </c>
      <c r="G654" s="22">
        <v>0</v>
      </c>
      <c r="H654" s="22">
        <v>655</v>
      </c>
      <c r="I654" s="22">
        <f t="shared" si="31"/>
        <v>655</v>
      </c>
      <c r="J654" s="22">
        <f t="shared" si="32"/>
        <v>655</v>
      </c>
      <c r="K654" s="22"/>
    </row>
    <row r="655" spans="1:11" x14ac:dyDescent="0.2">
      <c r="A655" s="15">
        <v>649</v>
      </c>
      <c r="B655" s="20">
        <v>220205</v>
      </c>
      <c r="C655" s="21" t="s">
        <v>34</v>
      </c>
      <c r="D655" s="22">
        <v>0</v>
      </c>
      <c r="E655" s="22">
        <f t="shared" si="30"/>
        <v>0</v>
      </c>
      <c r="F655" s="22">
        <v>0</v>
      </c>
      <c r="G655" s="22">
        <v>0</v>
      </c>
      <c r="H655" s="22">
        <v>0</v>
      </c>
      <c r="I655" s="22">
        <f t="shared" si="31"/>
        <v>0</v>
      </c>
      <c r="J655" s="22">
        <f t="shared" si="32"/>
        <v>0</v>
      </c>
      <c r="K655" s="22"/>
    </row>
    <row r="656" spans="1:11" x14ac:dyDescent="0.2">
      <c r="A656" s="15">
        <v>650</v>
      </c>
      <c r="B656" s="20">
        <v>220210</v>
      </c>
      <c r="C656" s="21" t="s">
        <v>31</v>
      </c>
      <c r="D656" s="22">
        <v>0</v>
      </c>
      <c r="E656" s="22">
        <f t="shared" si="30"/>
        <v>0</v>
      </c>
      <c r="F656" s="22">
        <v>0</v>
      </c>
      <c r="G656" s="22">
        <v>0</v>
      </c>
      <c r="H656" s="22">
        <v>0</v>
      </c>
      <c r="I656" s="22">
        <f t="shared" si="31"/>
        <v>0</v>
      </c>
      <c r="J656" s="22">
        <f t="shared" si="32"/>
        <v>0</v>
      </c>
      <c r="K656" s="22"/>
    </row>
    <row r="657" spans="1:11" x14ac:dyDescent="0.2">
      <c r="A657" s="15">
        <v>651</v>
      </c>
      <c r="B657" s="20">
        <v>220215</v>
      </c>
      <c r="C657" s="21" t="s">
        <v>32</v>
      </c>
      <c r="D657" s="22">
        <v>0</v>
      </c>
      <c r="E657" s="22">
        <f t="shared" si="30"/>
        <v>0</v>
      </c>
      <c r="F657" s="22">
        <v>0</v>
      </c>
      <c r="G657" s="22">
        <v>0</v>
      </c>
      <c r="H657" s="22">
        <v>655</v>
      </c>
      <c r="I657" s="22">
        <f t="shared" si="31"/>
        <v>655</v>
      </c>
      <c r="J657" s="22">
        <f t="shared" si="32"/>
        <v>655</v>
      </c>
      <c r="K657" s="22"/>
    </row>
    <row r="658" spans="1:11" x14ac:dyDescent="0.2">
      <c r="A658" s="15">
        <v>652</v>
      </c>
      <c r="B658" s="20">
        <v>2203</v>
      </c>
      <c r="C658" s="21" t="s">
        <v>316</v>
      </c>
      <c r="D658" s="22">
        <v>0</v>
      </c>
      <c r="E658" s="22">
        <f t="shared" si="30"/>
        <v>0</v>
      </c>
      <c r="F658" s="22">
        <v>0</v>
      </c>
      <c r="G658" s="22">
        <v>0</v>
      </c>
      <c r="H658" s="22">
        <v>0</v>
      </c>
      <c r="I658" s="22">
        <f t="shared" si="31"/>
        <v>0</v>
      </c>
      <c r="J658" s="22">
        <f t="shared" si="32"/>
        <v>0</v>
      </c>
      <c r="K658" s="22"/>
    </row>
    <row r="659" spans="1:11" x14ac:dyDescent="0.2">
      <c r="A659" s="15">
        <v>653</v>
      </c>
      <c r="B659" s="20">
        <v>23</v>
      </c>
      <c r="C659" s="21" t="s">
        <v>317</v>
      </c>
      <c r="D659" s="22">
        <v>0</v>
      </c>
      <c r="E659" s="22">
        <f t="shared" si="30"/>
        <v>0</v>
      </c>
      <c r="F659" s="22">
        <v>0</v>
      </c>
      <c r="G659" s="22">
        <v>19626.370200000001</v>
      </c>
      <c r="H659" s="22">
        <v>0</v>
      </c>
      <c r="I659" s="22">
        <f t="shared" si="31"/>
        <v>19626.370200000001</v>
      </c>
      <c r="J659" s="22">
        <f t="shared" si="32"/>
        <v>19626.370200000001</v>
      </c>
      <c r="K659" s="22"/>
    </row>
    <row r="660" spans="1:11" x14ac:dyDescent="0.2">
      <c r="A660" s="15">
        <v>654</v>
      </c>
      <c r="B660" s="20">
        <v>2301</v>
      </c>
      <c r="C660" s="21" t="s">
        <v>318</v>
      </c>
      <c r="D660" s="22"/>
      <c r="E660" s="22">
        <f t="shared" si="30"/>
        <v>0</v>
      </c>
      <c r="F660" s="22"/>
      <c r="G660" s="22">
        <v>3567.56529</v>
      </c>
      <c r="H660" s="22"/>
      <c r="I660" s="22">
        <f t="shared" si="31"/>
        <v>3567.56529</v>
      </c>
      <c r="J660" s="22">
        <f t="shared" si="32"/>
        <v>3567.56529</v>
      </c>
      <c r="K660" s="22"/>
    </row>
    <row r="661" spans="1:11" x14ac:dyDescent="0.2">
      <c r="A661" s="15">
        <v>655</v>
      </c>
      <c r="B661" s="20">
        <v>2302</v>
      </c>
      <c r="C661" s="21" t="s">
        <v>319</v>
      </c>
      <c r="D661" s="22"/>
      <c r="E661" s="22">
        <f t="shared" si="30"/>
        <v>0</v>
      </c>
      <c r="F661" s="22"/>
      <c r="G661" s="22">
        <v>112.10769000000001</v>
      </c>
      <c r="H661" s="22">
        <v>0</v>
      </c>
      <c r="I661" s="22">
        <f t="shared" si="31"/>
        <v>112.10769000000001</v>
      </c>
      <c r="J661" s="22">
        <f t="shared" si="32"/>
        <v>112.10769000000001</v>
      </c>
      <c r="K661" s="22"/>
    </row>
    <row r="662" spans="1:11" x14ac:dyDescent="0.2">
      <c r="A662" s="15">
        <v>656</v>
      </c>
      <c r="B662" s="20">
        <v>230205</v>
      </c>
      <c r="C662" s="21" t="s">
        <v>320</v>
      </c>
      <c r="D662" s="22"/>
      <c r="E662" s="22">
        <f t="shared" si="30"/>
        <v>0</v>
      </c>
      <c r="F662" s="22"/>
      <c r="G662" s="22">
        <v>112.10769000000001</v>
      </c>
      <c r="H662" s="22">
        <v>0</v>
      </c>
      <c r="I662" s="22">
        <f t="shared" si="31"/>
        <v>112.10769000000001</v>
      </c>
      <c r="J662" s="22">
        <f t="shared" si="32"/>
        <v>112.10769000000001</v>
      </c>
      <c r="K662" s="22"/>
    </row>
    <row r="663" spans="1:11" x14ac:dyDescent="0.2">
      <c r="A663" s="15">
        <v>657</v>
      </c>
      <c r="B663" s="20">
        <v>230210</v>
      </c>
      <c r="C663" s="21" t="s">
        <v>321</v>
      </c>
      <c r="D663" s="22"/>
      <c r="E663" s="22">
        <f t="shared" si="30"/>
        <v>0</v>
      </c>
      <c r="F663" s="22"/>
      <c r="G663" s="22">
        <v>0</v>
      </c>
      <c r="H663" s="22">
        <v>0</v>
      </c>
      <c r="I663" s="22">
        <f t="shared" si="31"/>
        <v>0</v>
      </c>
      <c r="J663" s="22">
        <f t="shared" si="32"/>
        <v>0</v>
      </c>
      <c r="K663" s="22"/>
    </row>
    <row r="664" spans="1:11" x14ac:dyDescent="0.2">
      <c r="A664" s="15">
        <v>658</v>
      </c>
      <c r="B664" s="20">
        <v>2303</v>
      </c>
      <c r="C664" s="21" t="s">
        <v>322</v>
      </c>
      <c r="D664" s="22"/>
      <c r="E664" s="22">
        <f t="shared" si="30"/>
        <v>0</v>
      </c>
      <c r="F664" s="22"/>
      <c r="G664" s="22">
        <v>15946.69722</v>
      </c>
      <c r="H664" s="22"/>
      <c r="I664" s="22">
        <f t="shared" si="31"/>
        <v>15946.69722</v>
      </c>
      <c r="J664" s="22">
        <f t="shared" si="32"/>
        <v>15946.69722</v>
      </c>
      <c r="K664" s="22"/>
    </row>
    <row r="665" spans="1:11" x14ac:dyDescent="0.2">
      <c r="A665" s="15">
        <v>659</v>
      </c>
      <c r="B665" s="20">
        <v>2304</v>
      </c>
      <c r="C665" s="21" t="s">
        <v>323</v>
      </c>
      <c r="D665" s="22">
        <v>0</v>
      </c>
      <c r="E665" s="22">
        <f t="shared" si="30"/>
        <v>0</v>
      </c>
      <c r="F665" s="22">
        <v>0</v>
      </c>
      <c r="G665" s="22">
        <v>0</v>
      </c>
      <c r="H665" s="22">
        <v>0</v>
      </c>
      <c r="I665" s="22">
        <f t="shared" si="31"/>
        <v>0</v>
      </c>
      <c r="J665" s="22">
        <f t="shared" si="32"/>
        <v>0</v>
      </c>
      <c r="K665" s="22"/>
    </row>
    <row r="666" spans="1:11" x14ac:dyDescent="0.2">
      <c r="A666" s="15">
        <v>660</v>
      </c>
      <c r="B666" s="20">
        <v>230405</v>
      </c>
      <c r="C666" s="21" t="s">
        <v>324</v>
      </c>
      <c r="D666" s="22">
        <v>0</v>
      </c>
      <c r="E666" s="22">
        <f t="shared" si="30"/>
        <v>0</v>
      </c>
      <c r="F666" s="22">
        <v>0</v>
      </c>
      <c r="G666" s="22">
        <v>0</v>
      </c>
      <c r="H666" s="22">
        <v>0</v>
      </c>
      <c r="I666" s="22">
        <f t="shared" si="31"/>
        <v>0</v>
      </c>
      <c r="J666" s="22">
        <f t="shared" si="32"/>
        <v>0</v>
      </c>
      <c r="K666" s="22"/>
    </row>
    <row r="667" spans="1:11" x14ac:dyDescent="0.2">
      <c r="A667" s="15">
        <v>661</v>
      </c>
      <c r="B667" s="20">
        <v>230410</v>
      </c>
      <c r="C667" s="21" t="s">
        <v>325</v>
      </c>
      <c r="D667" s="22">
        <v>0</v>
      </c>
      <c r="E667" s="22">
        <f t="shared" si="30"/>
        <v>0</v>
      </c>
      <c r="F667" s="22">
        <v>0</v>
      </c>
      <c r="G667" s="22">
        <v>0</v>
      </c>
      <c r="H667" s="22">
        <v>0</v>
      </c>
      <c r="I667" s="22">
        <f t="shared" si="31"/>
        <v>0</v>
      </c>
      <c r="J667" s="22">
        <f t="shared" si="32"/>
        <v>0</v>
      </c>
      <c r="K667" s="22"/>
    </row>
    <row r="668" spans="1:11" x14ac:dyDescent="0.2">
      <c r="A668" s="15">
        <v>662</v>
      </c>
      <c r="B668" s="20">
        <v>230415</v>
      </c>
      <c r="C668" s="21" t="s">
        <v>201</v>
      </c>
      <c r="D668" s="22">
        <v>0</v>
      </c>
      <c r="E668" s="22">
        <f t="shared" si="30"/>
        <v>0</v>
      </c>
      <c r="F668" s="22">
        <v>0</v>
      </c>
      <c r="G668" s="22">
        <v>0</v>
      </c>
      <c r="H668" s="22">
        <v>0</v>
      </c>
      <c r="I668" s="22">
        <f t="shared" si="31"/>
        <v>0</v>
      </c>
      <c r="J668" s="22">
        <f t="shared" si="32"/>
        <v>0</v>
      </c>
      <c r="K668" s="22"/>
    </row>
    <row r="669" spans="1:11" x14ac:dyDescent="0.2">
      <c r="A669" s="15">
        <v>663</v>
      </c>
      <c r="B669" s="20">
        <v>24</v>
      </c>
      <c r="C669" s="21" t="s">
        <v>326</v>
      </c>
      <c r="D669" s="22"/>
      <c r="E669" s="22">
        <f t="shared" si="30"/>
        <v>0</v>
      </c>
      <c r="F669" s="22"/>
      <c r="G669" s="22">
        <v>0</v>
      </c>
      <c r="H669" s="22">
        <v>0</v>
      </c>
      <c r="I669" s="22">
        <f t="shared" si="31"/>
        <v>0</v>
      </c>
      <c r="J669" s="22">
        <f t="shared" si="32"/>
        <v>0</v>
      </c>
      <c r="K669" s="22"/>
    </row>
    <row r="670" spans="1:11" x14ac:dyDescent="0.2">
      <c r="A670" s="15">
        <v>664</v>
      </c>
      <c r="B670" s="20">
        <v>2401</v>
      </c>
      <c r="C670" s="21" t="s">
        <v>134</v>
      </c>
      <c r="D670" s="22"/>
      <c r="E670" s="22">
        <f t="shared" si="30"/>
        <v>0</v>
      </c>
      <c r="F670" s="22"/>
      <c r="G670" s="22">
        <v>0</v>
      </c>
      <c r="H670" s="22">
        <v>0</v>
      </c>
      <c r="I670" s="22">
        <f t="shared" si="31"/>
        <v>0</v>
      </c>
      <c r="J670" s="22">
        <f t="shared" si="32"/>
        <v>0</v>
      </c>
      <c r="K670" s="22"/>
    </row>
    <row r="671" spans="1:11" x14ac:dyDescent="0.2">
      <c r="A671" s="15">
        <v>665</v>
      </c>
      <c r="B671" s="20">
        <v>2402</v>
      </c>
      <c r="C671" s="21" t="s">
        <v>135</v>
      </c>
      <c r="D671" s="22"/>
      <c r="E671" s="22">
        <f t="shared" si="30"/>
        <v>0</v>
      </c>
      <c r="F671" s="22"/>
      <c r="G671" s="22">
        <v>0</v>
      </c>
      <c r="H671" s="22">
        <v>0</v>
      </c>
      <c r="I671" s="22">
        <f t="shared" si="31"/>
        <v>0</v>
      </c>
      <c r="J671" s="22">
        <f t="shared" si="32"/>
        <v>0</v>
      </c>
      <c r="K671" s="22"/>
    </row>
    <row r="672" spans="1:11" x14ac:dyDescent="0.2">
      <c r="A672" s="15">
        <v>666</v>
      </c>
      <c r="B672" s="20">
        <v>25</v>
      </c>
      <c r="C672" s="21" t="s">
        <v>327</v>
      </c>
      <c r="D672" s="22">
        <v>8287.8509400000003</v>
      </c>
      <c r="E672" s="22">
        <f t="shared" si="30"/>
        <v>8287.8509400000003</v>
      </c>
      <c r="F672" s="22">
        <v>124649.54824</v>
      </c>
      <c r="G672" s="22">
        <v>37357.992850000002</v>
      </c>
      <c r="H672" s="22">
        <v>56565.903879999998</v>
      </c>
      <c r="I672" s="22">
        <f t="shared" si="31"/>
        <v>218573.44497000001</v>
      </c>
      <c r="J672" s="22">
        <f t="shared" si="32"/>
        <v>226861.29591000002</v>
      </c>
      <c r="K672" s="22">
        <v>4589.2739000000001</v>
      </c>
    </row>
    <row r="673" spans="1:11" x14ac:dyDescent="0.2">
      <c r="A673" s="15">
        <v>667</v>
      </c>
      <c r="B673" s="20">
        <v>2501</v>
      </c>
      <c r="C673" s="21" t="s">
        <v>328</v>
      </c>
      <c r="D673" s="22">
        <v>4594.4951700000001</v>
      </c>
      <c r="E673" s="22">
        <f t="shared" si="30"/>
        <v>4594.4951700000001</v>
      </c>
      <c r="F673" s="22">
        <v>28626.26224</v>
      </c>
      <c r="G673" s="22">
        <v>1561.05126</v>
      </c>
      <c r="H673" s="22">
        <v>9375.8816999999999</v>
      </c>
      <c r="I673" s="22">
        <f t="shared" si="31"/>
        <v>39563.195200000002</v>
      </c>
      <c r="J673" s="22">
        <f t="shared" si="32"/>
        <v>44157.690370000004</v>
      </c>
      <c r="K673" s="22">
        <v>0</v>
      </c>
    </row>
    <row r="674" spans="1:11" x14ac:dyDescent="0.2">
      <c r="A674" s="15">
        <v>668</v>
      </c>
      <c r="B674" s="20">
        <v>250105</v>
      </c>
      <c r="C674" s="21" t="s">
        <v>295</v>
      </c>
      <c r="D674" s="22">
        <v>81.030709999999999</v>
      </c>
      <c r="E674" s="22">
        <f t="shared" si="30"/>
        <v>81.030709999999999</v>
      </c>
      <c r="F674" s="22"/>
      <c r="G674" s="22">
        <v>32.833350000000003</v>
      </c>
      <c r="H674" s="22">
        <v>0</v>
      </c>
      <c r="I674" s="22">
        <f t="shared" si="31"/>
        <v>32.833350000000003</v>
      </c>
      <c r="J674" s="22">
        <f t="shared" si="32"/>
        <v>113.86405999999999</v>
      </c>
      <c r="K674" s="22"/>
    </row>
    <row r="675" spans="1:11" x14ac:dyDescent="0.2">
      <c r="A675" s="15">
        <v>669</v>
      </c>
      <c r="B675" s="20">
        <v>250110</v>
      </c>
      <c r="C675" s="21" t="s">
        <v>307</v>
      </c>
      <c r="D675" s="22">
        <v>0</v>
      </c>
      <c r="E675" s="22">
        <f t="shared" si="30"/>
        <v>0</v>
      </c>
      <c r="F675" s="22">
        <v>0</v>
      </c>
      <c r="G675" s="22">
        <v>0</v>
      </c>
      <c r="H675" s="22">
        <v>2.7300000000000001E-2</v>
      </c>
      <c r="I675" s="22">
        <f t="shared" si="31"/>
        <v>2.7300000000000001E-2</v>
      </c>
      <c r="J675" s="22">
        <f t="shared" si="32"/>
        <v>2.7300000000000001E-2</v>
      </c>
      <c r="K675" s="22"/>
    </row>
    <row r="676" spans="1:11" x14ac:dyDescent="0.2">
      <c r="A676" s="15">
        <v>670</v>
      </c>
      <c r="B676" s="20">
        <v>250115</v>
      </c>
      <c r="C676" s="21" t="s">
        <v>311</v>
      </c>
      <c r="D676" s="22">
        <v>327.15807999999998</v>
      </c>
      <c r="E676" s="22">
        <f t="shared" si="30"/>
        <v>327.15807999999998</v>
      </c>
      <c r="F676" s="22">
        <v>2414.0110300000001</v>
      </c>
      <c r="G676" s="22">
        <v>1422.1630299999999</v>
      </c>
      <c r="H676" s="22">
        <v>0</v>
      </c>
      <c r="I676" s="22">
        <f t="shared" si="31"/>
        <v>3836.1740600000003</v>
      </c>
      <c r="J676" s="22">
        <f t="shared" si="32"/>
        <v>4163.3321400000004</v>
      </c>
      <c r="K676" s="22"/>
    </row>
    <row r="677" spans="1:11" x14ac:dyDescent="0.2">
      <c r="A677" s="15">
        <v>671</v>
      </c>
      <c r="B677" s="20">
        <v>250120</v>
      </c>
      <c r="C677" s="21" t="s">
        <v>329</v>
      </c>
      <c r="D677" s="22">
        <v>4186.30638</v>
      </c>
      <c r="E677" s="22">
        <f t="shared" si="30"/>
        <v>4186.30638</v>
      </c>
      <c r="F677" s="22">
        <v>0</v>
      </c>
      <c r="G677" s="22">
        <v>0</v>
      </c>
      <c r="H677" s="22"/>
      <c r="I677" s="22">
        <f t="shared" si="31"/>
        <v>0</v>
      </c>
      <c r="J677" s="22">
        <f t="shared" si="32"/>
        <v>4186.30638</v>
      </c>
      <c r="K677" s="22"/>
    </row>
    <row r="678" spans="1:11" x14ac:dyDescent="0.2">
      <c r="A678" s="15">
        <v>672</v>
      </c>
      <c r="B678" s="20">
        <v>250125</v>
      </c>
      <c r="C678" s="21" t="s">
        <v>315</v>
      </c>
      <c r="D678" s="22">
        <v>0</v>
      </c>
      <c r="E678" s="22">
        <f t="shared" si="30"/>
        <v>0</v>
      </c>
      <c r="F678" s="22">
        <v>0</v>
      </c>
      <c r="G678" s="22">
        <v>0</v>
      </c>
      <c r="H678" s="22">
        <v>0</v>
      </c>
      <c r="I678" s="22">
        <f t="shared" si="31"/>
        <v>0</v>
      </c>
      <c r="J678" s="22">
        <f t="shared" si="32"/>
        <v>0</v>
      </c>
      <c r="K678" s="22"/>
    </row>
    <row r="679" spans="1:11" x14ac:dyDescent="0.2">
      <c r="A679" s="15">
        <v>673</v>
      </c>
      <c r="B679" s="20">
        <v>250130</v>
      </c>
      <c r="C679" s="21" t="s">
        <v>33</v>
      </c>
      <c r="D679" s="22">
        <v>0</v>
      </c>
      <c r="E679" s="22">
        <f t="shared" si="30"/>
        <v>0</v>
      </c>
      <c r="F679" s="22">
        <v>0</v>
      </c>
      <c r="G679" s="22">
        <v>0</v>
      </c>
      <c r="H679" s="22">
        <v>0</v>
      </c>
      <c r="I679" s="22">
        <f t="shared" si="31"/>
        <v>0</v>
      </c>
      <c r="J679" s="22">
        <f t="shared" si="32"/>
        <v>0</v>
      </c>
      <c r="K679" s="22"/>
    </row>
    <row r="680" spans="1:11" x14ac:dyDescent="0.2">
      <c r="A680" s="15">
        <v>674</v>
      </c>
      <c r="B680" s="20">
        <v>250135</v>
      </c>
      <c r="C680" s="21" t="s">
        <v>330</v>
      </c>
      <c r="D680" s="22">
        <v>0</v>
      </c>
      <c r="E680" s="22">
        <f t="shared" si="30"/>
        <v>0</v>
      </c>
      <c r="F680" s="22">
        <v>26212.251209999999</v>
      </c>
      <c r="G680" s="22">
        <v>102.29159</v>
      </c>
      <c r="H680" s="22">
        <v>1280.83799</v>
      </c>
      <c r="I680" s="22">
        <f t="shared" si="31"/>
        <v>27595.380789999999</v>
      </c>
      <c r="J680" s="22">
        <f t="shared" si="32"/>
        <v>27595.380789999999</v>
      </c>
      <c r="K680" s="22">
        <v>0</v>
      </c>
    </row>
    <row r="681" spans="1:11" x14ac:dyDescent="0.2">
      <c r="A681" s="15">
        <v>675</v>
      </c>
      <c r="B681" s="20">
        <v>250140</v>
      </c>
      <c r="C681" s="21" t="s">
        <v>324</v>
      </c>
      <c r="D681" s="22">
        <v>0</v>
      </c>
      <c r="E681" s="22">
        <f t="shared" si="30"/>
        <v>0</v>
      </c>
      <c r="F681" s="22">
        <v>0</v>
      </c>
      <c r="G681" s="22">
        <v>0</v>
      </c>
      <c r="H681" s="22">
        <v>0</v>
      </c>
      <c r="I681" s="22">
        <f t="shared" si="31"/>
        <v>0</v>
      </c>
      <c r="J681" s="22">
        <f t="shared" si="32"/>
        <v>0</v>
      </c>
      <c r="K681" s="22"/>
    </row>
    <row r="682" spans="1:11" x14ac:dyDescent="0.2">
      <c r="A682" s="15">
        <v>676</v>
      </c>
      <c r="B682" s="20">
        <v>250145</v>
      </c>
      <c r="C682" s="21" t="s">
        <v>325</v>
      </c>
      <c r="D682" s="22">
        <v>0</v>
      </c>
      <c r="E682" s="22">
        <f t="shared" si="30"/>
        <v>0</v>
      </c>
      <c r="F682" s="22">
        <v>0</v>
      </c>
      <c r="G682" s="22">
        <v>0</v>
      </c>
      <c r="H682" s="22">
        <v>0</v>
      </c>
      <c r="I682" s="22">
        <f t="shared" si="31"/>
        <v>0</v>
      </c>
      <c r="J682" s="22">
        <f t="shared" si="32"/>
        <v>0</v>
      </c>
      <c r="K682" s="22"/>
    </row>
    <row r="683" spans="1:11" x14ac:dyDescent="0.2">
      <c r="A683" s="15">
        <v>677</v>
      </c>
      <c r="B683" s="20">
        <v>250150</v>
      </c>
      <c r="C683" s="21" t="s">
        <v>201</v>
      </c>
      <c r="D683" s="22">
        <v>0</v>
      </c>
      <c r="E683" s="22">
        <f t="shared" si="30"/>
        <v>0</v>
      </c>
      <c r="F683" s="22">
        <v>0</v>
      </c>
      <c r="G683" s="22">
        <v>0</v>
      </c>
      <c r="H683" s="22">
        <v>8095.0164100000002</v>
      </c>
      <c r="I683" s="22">
        <f t="shared" si="31"/>
        <v>8095.0164100000002</v>
      </c>
      <c r="J683" s="22">
        <f t="shared" si="32"/>
        <v>8095.0164100000002</v>
      </c>
      <c r="K683" s="22"/>
    </row>
    <row r="684" spans="1:11" x14ac:dyDescent="0.2">
      <c r="A684" s="15">
        <v>678</v>
      </c>
      <c r="B684" s="20">
        <v>250155</v>
      </c>
      <c r="C684" s="21" t="s">
        <v>331</v>
      </c>
      <c r="D684" s="22">
        <v>0</v>
      </c>
      <c r="E684" s="22">
        <f t="shared" si="30"/>
        <v>0</v>
      </c>
      <c r="F684" s="22">
        <v>0</v>
      </c>
      <c r="G684" s="22">
        <v>0</v>
      </c>
      <c r="H684" s="22">
        <v>0</v>
      </c>
      <c r="I684" s="22">
        <f t="shared" si="31"/>
        <v>0</v>
      </c>
      <c r="J684" s="22">
        <f t="shared" si="32"/>
        <v>0</v>
      </c>
      <c r="K684" s="22">
        <v>0</v>
      </c>
    </row>
    <row r="685" spans="1:11" x14ac:dyDescent="0.2">
      <c r="A685" s="15">
        <v>679</v>
      </c>
      <c r="B685" s="20">
        <v>250190</v>
      </c>
      <c r="C685" s="21" t="s">
        <v>58</v>
      </c>
      <c r="D685" s="22">
        <v>0</v>
      </c>
      <c r="E685" s="22">
        <f t="shared" si="30"/>
        <v>0</v>
      </c>
      <c r="F685" s="22">
        <v>0</v>
      </c>
      <c r="G685" s="22">
        <v>3.76329</v>
      </c>
      <c r="H685" s="22">
        <v>0</v>
      </c>
      <c r="I685" s="22">
        <f t="shared" si="31"/>
        <v>3.76329</v>
      </c>
      <c r="J685" s="22">
        <f t="shared" si="32"/>
        <v>3.76329</v>
      </c>
      <c r="K685" s="22">
        <v>0</v>
      </c>
    </row>
    <row r="686" spans="1:11" x14ac:dyDescent="0.2">
      <c r="A686" s="15">
        <v>680</v>
      </c>
      <c r="B686" s="20">
        <v>2502</v>
      </c>
      <c r="C686" s="21" t="s">
        <v>332</v>
      </c>
      <c r="D686" s="22">
        <v>0</v>
      </c>
      <c r="E686" s="22">
        <f t="shared" si="30"/>
        <v>0</v>
      </c>
      <c r="F686" s="22">
        <v>1.8049599999999999</v>
      </c>
      <c r="G686" s="22">
        <v>0</v>
      </c>
      <c r="H686" s="22">
        <v>0</v>
      </c>
      <c r="I686" s="22">
        <f t="shared" si="31"/>
        <v>1.8049599999999999</v>
      </c>
      <c r="J686" s="22">
        <f t="shared" si="32"/>
        <v>1.8049599999999999</v>
      </c>
      <c r="K686" s="22">
        <v>0</v>
      </c>
    </row>
    <row r="687" spans="1:11" x14ac:dyDescent="0.2">
      <c r="A687" s="15">
        <v>681</v>
      </c>
      <c r="B687" s="20">
        <v>2503</v>
      </c>
      <c r="C687" s="21" t="s">
        <v>333</v>
      </c>
      <c r="D687" s="22">
        <v>231.90566000000001</v>
      </c>
      <c r="E687" s="22">
        <f t="shared" si="30"/>
        <v>231.90566000000001</v>
      </c>
      <c r="F687" s="22">
        <v>758.21635000000003</v>
      </c>
      <c r="G687" s="22">
        <v>2938.7875199999999</v>
      </c>
      <c r="H687" s="22">
        <v>1254.15283</v>
      </c>
      <c r="I687" s="22">
        <f t="shared" si="31"/>
        <v>4951.1566999999995</v>
      </c>
      <c r="J687" s="22">
        <f t="shared" si="32"/>
        <v>5183.0623599999999</v>
      </c>
      <c r="K687" s="22">
        <v>528.50126</v>
      </c>
    </row>
    <row r="688" spans="1:11" x14ac:dyDescent="0.2">
      <c r="A688" s="15">
        <v>682</v>
      </c>
      <c r="B688" s="20">
        <v>250305</v>
      </c>
      <c r="C688" s="21" t="s">
        <v>334</v>
      </c>
      <c r="D688" s="22">
        <v>167.89510999999999</v>
      </c>
      <c r="E688" s="22">
        <f t="shared" si="30"/>
        <v>167.89510999999999</v>
      </c>
      <c r="F688" s="22">
        <v>3.3441000000000001</v>
      </c>
      <c r="G688" s="22">
        <v>159.03282999999999</v>
      </c>
      <c r="H688" s="22">
        <v>0</v>
      </c>
      <c r="I688" s="22">
        <f t="shared" si="31"/>
        <v>162.37692999999999</v>
      </c>
      <c r="J688" s="22">
        <f t="shared" si="32"/>
        <v>330.27203999999995</v>
      </c>
      <c r="K688" s="22">
        <v>528.50126</v>
      </c>
    </row>
    <row r="689" spans="1:11" x14ac:dyDescent="0.2">
      <c r="A689" s="15">
        <v>683</v>
      </c>
      <c r="B689" s="20">
        <v>250310</v>
      </c>
      <c r="C689" s="21" t="s">
        <v>335</v>
      </c>
      <c r="D689" s="22">
        <v>0.01</v>
      </c>
      <c r="E689" s="22">
        <f t="shared" si="30"/>
        <v>0.01</v>
      </c>
      <c r="F689" s="22">
        <v>501.30664999999999</v>
      </c>
      <c r="G689" s="22">
        <v>1583.98686</v>
      </c>
      <c r="H689" s="22">
        <v>1102.0687600000001</v>
      </c>
      <c r="I689" s="22">
        <f t="shared" si="31"/>
        <v>3187.3622700000001</v>
      </c>
      <c r="J689" s="22">
        <f t="shared" si="32"/>
        <v>3187.3722700000003</v>
      </c>
      <c r="K689" s="22">
        <v>0</v>
      </c>
    </row>
    <row r="690" spans="1:11" x14ac:dyDescent="0.2">
      <c r="A690" s="15">
        <v>684</v>
      </c>
      <c r="B690" s="20">
        <v>250315</v>
      </c>
      <c r="C690" s="21" t="s">
        <v>336</v>
      </c>
      <c r="D690" s="22">
        <v>64.000550000000004</v>
      </c>
      <c r="E690" s="22">
        <f t="shared" si="30"/>
        <v>64.000550000000004</v>
      </c>
      <c r="F690" s="22">
        <v>251.39108999999999</v>
      </c>
      <c r="G690" s="22">
        <v>29.625689999999999</v>
      </c>
      <c r="H690" s="22">
        <v>152.08407</v>
      </c>
      <c r="I690" s="22">
        <f t="shared" si="31"/>
        <v>433.10084999999998</v>
      </c>
      <c r="J690" s="22">
        <f t="shared" si="32"/>
        <v>497.10140000000001</v>
      </c>
      <c r="K690" s="22">
        <v>0</v>
      </c>
    </row>
    <row r="691" spans="1:11" x14ac:dyDescent="0.2">
      <c r="A691" s="15">
        <v>685</v>
      </c>
      <c r="B691" s="20">
        <v>250320</v>
      </c>
      <c r="C691" s="21" t="s">
        <v>337</v>
      </c>
      <c r="D691" s="22">
        <v>0</v>
      </c>
      <c r="E691" s="22">
        <f t="shared" si="30"/>
        <v>0</v>
      </c>
      <c r="F691" s="22">
        <v>2.1745100000000002</v>
      </c>
      <c r="G691" s="22">
        <v>47.066310000000001</v>
      </c>
      <c r="H691" s="22">
        <v>0</v>
      </c>
      <c r="I691" s="22">
        <f t="shared" si="31"/>
        <v>49.240819999999999</v>
      </c>
      <c r="J691" s="22">
        <f t="shared" si="32"/>
        <v>49.240819999999999</v>
      </c>
      <c r="K691" s="22">
        <v>0</v>
      </c>
    </row>
    <row r="692" spans="1:11" x14ac:dyDescent="0.2">
      <c r="A692" s="15">
        <v>686</v>
      </c>
      <c r="B692" s="20">
        <v>250325</v>
      </c>
      <c r="C692" s="21" t="s">
        <v>338</v>
      </c>
      <c r="D692" s="22"/>
      <c r="E692" s="22">
        <f t="shared" si="30"/>
        <v>0</v>
      </c>
      <c r="F692" s="22"/>
      <c r="G692" s="22"/>
      <c r="H692" s="22"/>
      <c r="I692" s="22">
        <f t="shared" si="31"/>
        <v>0</v>
      </c>
      <c r="J692" s="22">
        <f t="shared" si="32"/>
        <v>0</v>
      </c>
      <c r="K692" s="22"/>
    </row>
    <row r="693" spans="1:11" x14ac:dyDescent="0.2">
      <c r="A693" s="15">
        <v>687</v>
      </c>
      <c r="B693" s="20">
        <v>250330</v>
      </c>
      <c r="C693" s="21" t="s">
        <v>339</v>
      </c>
      <c r="D693" s="22">
        <v>0</v>
      </c>
      <c r="E693" s="22">
        <f t="shared" si="30"/>
        <v>0</v>
      </c>
      <c r="F693" s="22">
        <v>0</v>
      </c>
      <c r="G693" s="22">
        <v>0</v>
      </c>
      <c r="H693" s="22">
        <v>0</v>
      </c>
      <c r="I693" s="22">
        <f t="shared" si="31"/>
        <v>0</v>
      </c>
      <c r="J693" s="22">
        <f t="shared" si="32"/>
        <v>0</v>
      </c>
      <c r="K693" s="22">
        <v>0</v>
      </c>
    </row>
    <row r="694" spans="1:11" x14ac:dyDescent="0.2">
      <c r="A694" s="15">
        <v>688</v>
      </c>
      <c r="B694" s="20">
        <v>250390</v>
      </c>
      <c r="C694" s="21" t="s">
        <v>157</v>
      </c>
      <c r="D694" s="22">
        <v>0</v>
      </c>
      <c r="E694" s="22">
        <f t="shared" si="30"/>
        <v>0</v>
      </c>
      <c r="F694" s="22">
        <v>0</v>
      </c>
      <c r="G694" s="22">
        <v>1119.07583</v>
      </c>
      <c r="H694" s="22">
        <v>0</v>
      </c>
      <c r="I694" s="22">
        <f t="shared" si="31"/>
        <v>1119.07583</v>
      </c>
      <c r="J694" s="22">
        <f t="shared" si="32"/>
        <v>1119.07583</v>
      </c>
      <c r="K694" s="22">
        <v>0</v>
      </c>
    </row>
    <row r="695" spans="1:11" x14ac:dyDescent="0.2">
      <c r="A695" s="15">
        <v>689</v>
      </c>
      <c r="B695" s="20">
        <v>2504</v>
      </c>
      <c r="C695" s="21" t="s">
        <v>340</v>
      </c>
      <c r="D695" s="22">
        <v>168.20313999999999</v>
      </c>
      <c r="E695" s="22">
        <f t="shared" si="30"/>
        <v>168.20313999999999</v>
      </c>
      <c r="F695" s="22">
        <v>33.035690000000002</v>
      </c>
      <c r="G695" s="22">
        <v>808.46996000000001</v>
      </c>
      <c r="H695" s="22">
        <v>509.90203000000002</v>
      </c>
      <c r="I695" s="22">
        <f t="shared" si="31"/>
        <v>1351.40768</v>
      </c>
      <c r="J695" s="22">
        <f t="shared" si="32"/>
        <v>1519.6108200000001</v>
      </c>
      <c r="K695" s="22">
        <v>5.2219600000000002</v>
      </c>
    </row>
    <row r="696" spans="1:11" x14ac:dyDescent="0.2">
      <c r="A696" s="15">
        <v>690</v>
      </c>
      <c r="B696" s="20">
        <v>250405</v>
      </c>
      <c r="C696" s="21" t="s">
        <v>341</v>
      </c>
      <c r="D696" s="22">
        <v>25.609970000000001</v>
      </c>
      <c r="E696" s="22">
        <f t="shared" si="30"/>
        <v>25.609970000000001</v>
      </c>
      <c r="F696" s="22">
        <v>17.106059999999999</v>
      </c>
      <c r="G696" s="22">
        <v>135.458</v>
      </c>
      <c r="H696" s="22">
        <v>205.07732999999999</v>
      </c>
      <c r="I696" s="22">
        <f t="shared" si="31"/>
        <v>357.64139</v>
      </c>
      <c r="J696" s="22">
        <f t="shared" si="32"/>
        <v>383.25135999999998</v>
      </c>
      <c r="K696" s="22">
        <v>5.2219600000000002</v>
      </c>
    </row>
    <row r="697" spans="1:11" x14ac:dyDescent="0.2">
      <c r="A697" s="15">
        <v>691</v>
      </c>
      <c r="B697" s="20">
        <v>250490</v>
      </c>
      <c r="C697" s="21" t="s">
        <v>342</v>
      </c>
      <c r="D697" s="22">
        <v>142.59316999999999</v>
      </c>
      <c r="E697" s="22">
        <f t="shared" si="30"/>
        <v>142.59316999999999</v>
      </c>
      <c r="F697" s="22">
        <v>15.92963</v>
      </c>
      <c r="G697" s="22">
        <v>673.01196000000004</v>
      </c>
      <c r="H697" s="22">
        <v>304.82470000000001</v>
      </c>
      <c r="I697" s="22">
        <f t="shared" si="31"/>
        <v>993.76629000000003</v>
      </c>
      <c r="J697" s="22">
        <f t="shared" si="32"/>
        <v>1136.3594600000001</v>
      </c>
      <c r="K697" s="22">
        <v>0</v>
      </c>
    </row>
    <row r="698" spans="1:11" x14ac:dyDescent="0.2">
      <c r="A698" s="15">
        <v>692</v>
      </c>
      <c r="B698" s="20">
        <v>2505</v>
      </c>
      <c r="C698" s="21" t="s">
        <v>343</v>
      </c>
      <c r="D698" s="22">
        <v>0</v>
      </c>
      <c r="E698" s="22">
        <f t="shared" si="30"/>
        <v>0</v>
      </c>
      <c r="F698" s="22">
        <v>2870.71101</v>
      </c>
      <c r="G698" s="22">
        <v>420.48192</v>
      </c>
      <c r="H698" s="22">
        <v>670.33727999999996</v>
      </c>
      <c r="I698" s="22">
        <f t="shared" si="31"/>
        <v>3961.5302099999999</v>
      </c>
      <c r="J698" s="22">
        <f t="shared" si="32"/>
        <v>3961.5302099999999</v>
      </c>
      <c r="K698" s="22">
        <v>0</v>
      </c>
    </row>
    <row r="699" spans="1:11" x14ac:dyDescent="0.2">
      <c r="A699" s="15">
        <v>693</v>
      </c>
      <c r="B699" s="20">
        <v>250505</v>
      </c>
      <c r="C699" s="21" t="s">
        <v>344</v>
      </c>
      <c r="D699" s="22"/>
      <c r="E699" s="22">
        <f t="shared" si="30"/>
        <v>0</v>
      </c>
      <c r="F699" s="22"/>
      <c r="G699" s="22"/>
      <c r="H699" s="22"/>
      <c r="I699" s="22">
        <f t="shared" si="31"/>
        <v>0</v>
      </c>
      <c r="J699" s="22">
        <f t="shared" si="32"/>
        <v>0</v>
      </c>
      <c r="K699" s="22"/>
    </row>
    <row r="700" spans="1:11" x14ac:dyDescent="0.2">
      <c r="A700" s="15">
        <v>694</v>
      </c>
      <c r="B700" s="20">
        <v>250510</v>
      </c>
      <c r="C700" s="21" t="s">
        <v>345</v>
      </c>
      <c r="D700" s="22"/>
      <c r="E700" s="22">
        <f t="shared" si="30"/>
        <v>0</v>
      </c>
      <c r="F700" s="22"/>
      <c r="G700" s="22"/>
      <c r="H700" s="22"/>
      <c r="I700" s="22">
        <f t="shared" si="31"/>
        <v>0</v>
      </c>
      <c r="J700" s="22">
        <f t="shared" si="32"/>
        <v>0</v>
      </c>
      <c r="K700" s="22"/>
    </row>
    <row r="701" spans="1:11" x14ac:dyDescent="0.2">
      <c r="A701" s="15">
        <v>695</v>
      </c>
      <c r="B701" s="20">
        <v>250590</v>
      </c>
      <c r="C701" s="21" t="s">
        <v>346</v>
      </c>
      <c r="D701" s="22">
        <v>0</v>
      </c>
      <c r="E701" s="22">
        <f t="shared" si="30"/>
        <v>0</v>
      </c>
      <c r="F701" s="22">
        <v>2870.71101</v>
      </c>
      <c r="G701" s="22">
        <v>420.48192</v>
      </c>
      <c r="H701" s="22">
        <v>670.33727999999996</v>
      </c>
      <c r="I701" s="22">
        <f t="shared" si="31"/>
        <v>3961.5302099999999</v>
      </c>
      <c r="J701" s="22">
        <f t="shared" si="32"/>
        <v>3961.5302099999999</v>
      </c>
      <c r="K701" s="22">
        <v>0</v>
      </c>
    </row>
    <row r="702" spans="1:11" x14ac:dyDescent="0.2">
      <c r="A702" s="15">
        <v>696</v>
      </c>
      <c r="B702" s="20">
        <v>2506</v>
      </c>
      <c r="C702" s="21" t="s">
        <v>347</v>
      </c>
      <c r="D702" s="22">
        <v>0</v>
      </c>
      <c r="E702" s="22">
        <f t="shared" si="30"/>
        <v>0</v>
      </c>
      <c r="F702" s="22">
        <v>0</v>
      </c>
      <c r="G702" s="22">
        <v>7155.8060100000002</v>
      </c>
      <c r="H702" s="22">
        <v>0</v>
      </c>
      <c r="I702" s="22">
        <f t="shared" si="31"/>
        <v>7155.8060100000002</v>
      </c>
      <c r="J702" s="22">
        <f t="shared" si="32"/>
        <v>7155.8060100000002</v>
      </c>
      <c r="K702" s="22">
        <v>1363.06441</v>
      </c>
    </row>
    <row r="703" spans="1:11" x14ac:dyDescent="0.2">
      <c r="A703" s="15">
        <v>697</v>
      </c>
      <c r="B703" s="20">
        <v>2507</v>
      </c>
      <c r="C703" s="21" t="s">
        <v>348</v>
      </c>
      <c r="D703" s="22">
        <v>0</v>
      </c>
      <c r="E703" s="22">
        <f t="shared" si="30"/>
        <v>0</v>
      </c>
      <c r="F703" s="22">
        <v>0</v>
      </c>
      <c r="G703" s="22">
        <v>0</v>
      </c>
      <c r="H703" s="22">
        <v>0</v>
      </c>
      <c r="I703" s="22">
        <f t="shared" si="31"/>
        <v>0</v>
      </c>
      <c r="J703" s="22">
        <f t="shared" si="32"/>
        <v>0</v>
      </c>
      <c r="K703" s="22"/>
    </row>
    <row r="704" spans="1:11" x14ac:dyDescent="0.2">
      <c r="A704" s="15">
        <v>698</v>
      </c>
      <c r="B704" s="20">
        <v>2508</v>
      </c>
      <c r="C704" s="21" t="s">
        <v>349</v>
      </c>
      <c r="D704" s="22"/>
      <c r="E704" s="22">
        <f t="shared" si="30"/>
        <v>0</v>
      </c>
      <c r="F704" s="22"/>
      <c r="G704" s="22"/>
      <c r="H704" s="22"/>
      <c r="I704" s="22">
        <f t="shared" si="31"/>
        <v>0</v>
      </c>
      <c r="J704" s="22">
        <f t="shared" si="32"/>
        <v>0</v>
      </c>
      <c r="K704" s="22"/>
    </row>
    <row r="705" spans="1:11" x14ac:dyDescent="0.2">
      <c r="A705" s="15">
        <v>699</v>
      </c>
      <c r="B705" s="20">
        <v>2510</v>
      </c>
      <c r="C705" s="21" t="s">
        <v>350</v>
      </c>
      <c r="D705" s="22"/>
      <c r="E705" s="22">
        <f t="shared" si="30"/>
        <v>0</v>
      </c>
      <c r="F705" s="22"/>
      <c r="G705" s="22"/>
      <c r="H705" s="22"/>
      <c r="I705" s="22">
        <f t="shared" si="31"/>
        <v>0</v>
      </c>
      <c r="J705" s="22">
        <f t="shared" si="32"/>
        <v>0</v>
      </c>
      <c r="K705" s="22"/>
    </row>
    <row r="706" spans="1:11" x14ac:dyDescent="0.2">
      <c r="A706" s="15">
        <v>700</v>
      </c>
      <c r="B706" s="20">
        <v>2511</v>
      </c>
      <c r="C706" s="21" t="s">
        <v>351</v>
      </c>
      <c r="D706" s="22"/>
      <c r="E706" s="22">
        <f t="shared" si="30"/>
        <v>0</v>
      </c>
      <c r="F706" s="22">
        <v>0</v>
      </c>
      <c r="G706" s="22">
        <v>0</v>
      </c>
      <c r="H706" s="22">
        <v>0</v>
      </c>
      <c r="I706" s="22">
        <f t="shared" si="31"/>
        <v>0</v>
      </c>
      <c r="J706" s="22">
        <f t="shared" si="32"/>
        <v>0</v>
      </c>
      <c r="K706" s="22"/>
    </row>
    <row r="707" spans="1:11" x14ac:dyDescent="0.2">
      <c r="A707" s="15">
        <v>701</v>
      </c>
      <c r="B707" s="20">
        <v>2590</v>
      </c>
      <c r="C707" s="21" t="s">
        <v>352</v>
      </c>
      <c r="D707" s="22">
        <v>3293.2469700000001</v>
      </c>
      <c r="E707" s="22">
        <f t="shared" si="30"/>
        <v>3293.2469700000001</v>
      </c>
      <c r="F707" s="22">
        <v>92359.517989999993</v>
      </c>
      <c r="G707" s="22">
        <v>24473.39618</v>
      </c>
      <c r="H707" s="22">
        <v>44755.630039999996</v>
      </c>
      <c r="I707" s="22">
        <f t="shared" si="31"/>
        <v>161588.54420999999</v>
      </c>
      <c r="J707" s="22">
        <f t="shared" si="32"/>
        <v>164881.79118</v>
      </c>
      <c r="K707" s="22">
        <v>2692.4862699999999</v>
      </c>
    </row>
    <row r="708" spans="1:11" x14ac:dyDescent="0.2">
      <c r="A708" s="15">
        <v>702</v>
      </c>
      <c r="B708" s="20">
        <v>259005</v>
      </c>
      <c r="C708" s="21" t="s">
        <v>353</v>
      </c>
      <c r="D708" s="22"/>
      <c r="E708" s="22">
        <f t="shared" si="30"/>
        <v>0</v>
      </c>
      <c r="F708" s="22"/>
      <c r="G708" s="22"/>
      <c r="H708" s="22"/>
      <c r="I708" s="22">
        <f t="shared" si="31"/>
        <v>0</v>
      </c>
      <c r="J708" s="22">
        <f t="shared" si="32"/>
        <v>0</v>
      </c>
      <c r="K708" s="22"/>
    </row>
    <row r="709" spans="1:11" x14ac:dyDescent="0.2">
      <c r="A709" s="15">
        <v>703</v>
      </c>
      <c r="B709" s="20">
        <v>259010</v>
      </c>
      <c r="C709" s="21" t="s">
        <v>354</v>
      </c>
      <c r="D709" s="22"/>
      <c r="E709" s="22">
        <f t="shared" si="30"/>
        <v>0</v>
      </c>
      <c r="F709" s="22"/>
      <c r="G709" s="22"/>
      <c r="H709" s="22"/>
      <c r="I709" s="22">
        <f t="shared" si="31"/>
        <v>0</v>
      </c>
      <c r="J709" s="22">
        <f t="shared" si="32"/>
        <v>0</v>
      </c>
      <c r="K709" s="22"/>
    </row>
    <row r="710" spans="1:11" x14ac:dyDescent="0.2">
      <c r="A710" s="15">
        <v>704</v>
      </c>
      <c r="B710" s="20">
        <v>259015</v>
      </c>
      <c r="C710" s="21" t="s">
        <v>355</v>
      </c>
      <c r="D710" s="22">
        <v>452.47161999999997</v>
      </c>
      <c r="E710" s="22">
        <f t="shared" si="30"/>
        <v>452.47161999999997</v>
      </c>
      <c r="F710" s="22">
        <v>11.496549999999999</v>
      </c>
      <c r="G710" s="22">
        <v>100.73248</v>
      </c>
      <c r="H710" s="22">
        <v>15.01965</v>
      </c>
      <c r="I710" s="22">
        <f t="shared" si="31"/>
        <v>127.24867999999999</v>
      </c>
      <c r="J710" s="22">
        <f t="shared" si="32"/>
        <v>579.72029999999995</v>
      </c>
      <c r="K710" s="22">
        <v>127.94416</v>
      </c>
    </row>
    <row r="711" spans="1:11" x14ac:dyDescent="0.2">
      <c r="A711" s="15">
        <v>705</v>
      </c>
      <c r="B711" s="20">
        <v>259020</v>
      </c>
      <c r="C711" s="21" t="s">
        <v>356</v>
      </c>
      <c r="D711" s="22"/>
      <c r="E711" s="22">
        <f t="shared" si="30"/>
        <v>0</v>
      </c>
      <c r="F711" s="22"/>
      <c r="G711" s="22"/>
      <c r="H711" s="22"/>
      <c r="I711" s="22">
        <f t="shared" si="31"/>
        <v>0</v>
      </c>
      <c r="J711" s="22">
        <f t="shared" si="32"/>
        <v>0</v>
      </c>
      <c r="K711" s="22"/>
    </row>
    <row r="712" spans="1:11" x14ac:dyDescent="0.2">
      <c r="A712" s="15">
        <v>706</v>
      </c>
      <c r="B712" s="20">
        <v>259090</v>
      </c>
      <c r="C712" s="21" t="s">
        <v>357</v>
      </c>
      <c r="D712" s="22">
        <v>2840.7753499999999</v>
      </c>
      <c r="E712" s="22">
        <f t="shared" si="30"/>
        <v>2840.7753499999999</v>
      </c>
      <c r="F712" s="22">
        <v>92348.021439999997</v>
      </c>
      <c r="G712" s="22">
        <v>24372.663700000001</v>
      </c>
      <c r="H712" s="22">
        <v>44740.610390000002</v>
      </c>
      <c r="I712" s="22">
        <f t="shared" si="31"/>
        <v>161461.29553</v>
      </c>
      <c r="J712" s="22">
        <f t="shared" si="32"/>
        <v>164302.07088000001</v>
      </c>
      <c r="K712" s="22">
        <v>2564.5421099999999</v>
      </c>
    </row>
    <row r="713" spans="1:11" x14ac:dyDescent="0.2">
      <c r="A713" s="15">
        <v>707</v>
      </c>
      <c r="B713" s="20">
        <v>26</v>
      </c>
      <c r="C713" s="21" t="s">
        <v>358</v>
      </c>
      <c r="D713" s="22">
        <v>917.75852999999995</v>
      </c>
      <c r="E713" s="22">
        <f t="shared" si="30"/>
        <v>917.75852999999995</v>
      </c>
      <c r="F713" s="22">
        <v>13970.07429</v>
      </c>
      <c r="G713" s="22">
        <v>241.19851</v>
      </c>
      <c r="H713" s="22">
        <v>100048.11142</v>
      </c>
      <c r="I713" s="22">
        <f t="shared" si="31"/>
        <v>114259.38422000001</v>
      </c>
      <c r="J713" s="22">
        <f t="shared" si="32"/>
        <v>115177.14275000001</v>
      </c>
      <c r="K713" s="22">
        <v>0</v>
      </c>
    </row>
    <row r="714" spans="1:11" x14ac:dyDescent="0.2">
      <c r="A714" s="15">
        <v>708</v>
      </c>
      <c r="B714" s="20">
        <v>2601</v>
      </c>
      <c r="C714" s="21" t="s">
        <v>359</v>
      </c>
      <c r="D714" s="22">
        <v>0</v>
      </c>
      <c r="E714" s="22">
        <f t="shared" ref="E714:E777" si="33">+D714</f>
        <v>0</v>
      </c>
      <c r="F714" s="22"/>
      <c r="G714" s="22">
        <v>0</v>
      </c>
      <c r="H714" s="22">
        <v>0</v>
      </c>
      <c r="I714" s="22">
        <f t="shared" ref="I714:I777" si="34">+SUM(F714:H714)</f>
        <v>0</v>
      </c>
      <c r="J714" s="22">
        <f t="shared" ref="J714:J777" si="35">+E714+I714</f>
        <v>0</v>
      </c>
      <c r="K714" s="22">
        <v>0</v>
      </c>
    </row>
    <row r="715" spans="1:11" x14ac:dyDescent="0.2">
      <c r="A715" s="15">
        <v>709</v>
      </c>
      <c r="B715" s="20">
        <v>2602</v>
      </c>
      <c r="C715" s="21" t="s">
        <v>360</v>
      </c>
      <c r="D715" s="22">
        <v>0</v>
      </c>
      <c r="E715" s="22">
        <f t="shared" si="33"/>
        <v>0</v>
      </c>
      <c r="F715" s="22"/>
      <c r="G715" s="22">
        <v>0</v>
      </c>
      <c r="H715" s="22">
        <v>0</v>
      </c>
      <c r="I715" s="22">
        <f t="shared" si="34"/>
        <v>0</v>
      </c>
      <c r="J715" s="22">
        <f t="shared" si="35"/>
        <v>0</v>
      </c>
      <c r="K715" s="22">
        <v>0</v>
      </c>
    </row>
    <row r="716" spans="1:11" x14ac:dyDescent="0.2">
      <c r="A716" s="15">
        <v>710</v>
      </c>
      <c r="B716" s="20">
        <v>260205</v>
      </c>
      <c r="C716" s="21" t="s">
        <v>38</v>
      </c>
      <c r="D716" s="22">
        <v>0</v>
      </c>
      <c r="E716" s="22">
        <f t="shared" si="33"/>
        <v>0</v>
      </c>
      <c r="F716" s="22"/>
      <c r="G716" s="22">
        <v>0</v>
      </c>
      <c r="H716" s="22">
        <v>0</v>
      </c>
      <c r="I716" s="22">
        <f t="shared" si="34"/>
        <v>0</v>
      </c>
      <c r="J716" s="22">
        <f t="shared" si="35"/>
        <v>0</v>
      </c>
      <c r="K716" s="22">
        <v>0</v>
      </c>
    </row>
    <row r="717" spans="1:11" x14ac:dyDescent="0.2">
      <c r="A717" s="15">
        <v>711</v>
      </c>
      <c r="B717" s="20">
        <v>260210</v>
      </c>
      <c r="C717" s="21" t="s">
        <v>39</v>
      </c>
      <c r="D717" s="22">
        <v>0</v>
      </c>
      <c r="E717" s="22">
        <f t="shared" si="33"/>
        <v>0</v>
      </c>
      <c r="F717" s="22"/>
      <c r="G717" s="22">
        <v>0</v>
      </c>
      <c r="H717" s="22">
        <v>0</v>
      </c>
      <c r="I717" s="22">
        <f t="shared" si="34"/>
        <v>0</v>
      </c>
      <c r="J717" s="22">
        <f t="shared" si="35"/>
        <v>0</v>
      </c>
      <c r="K717" s="22">
        <v>0</v>
      </c>
    </row>
    <row r="718" spans="1:11" x14ac:dyDescent="0.2">
      <c r="A718" s="15">
        <v>712</v>
      </c>
      <c r="B718" s="20">
        <v>260215</v>
      </c>
      <c r="C718" s="21" t="s">
        <v>40</v>
      </c>
      <c r="D718" s="22">
        <v>0</v>
      </c>
      <c r="E718" s="22">
        <f t="shared" si="33"/>
        <v>0</v>
      </c>
      <c r="F718" s="22"/>
      <c r="G718" s="22">
        <v>0</v>
      </c>
      <c r="H718" s="22">
        <v>0</v>
      </c>
      <c r="I718" s="22">
        <f t="shared" si="34"/>
        <v>0</v>
      </c>
      <c r="J718" s="22">
        <f t="shared" si="35"/>
        <v>0</v>
      </c>
      <c r="K718" s="22">
        <v>0</v>
      </c>
    </row>
    <row r="719" spans="1:11" x14ac:dyDescent="0.2">
      <c r="A719" s="15">
        <v>713</v>
      </c>
      <c r="B719" s="20">
        <v>260220</v>
      </c>
      <c r="C719" s="21" t="s">
        <v>41</v>
      </c>
      <c r="D719" s="22">
        <v>0</v>
      </c>
      <c r="E719" s="22">
        <f t="shared" si="33"/>
        <v>0</v>
      </c>
      <c r="F719" s="22"/>
      <c r="G719" s="22">
        <v>0</v>
      </c>
      <c r="H719" s="22">
        <v>0</v>
      </c>
      <c r="I719" s="22">
        <f t="shared" si="34"/>
        <v>0</v>
      </c>
      <c r="J719" s="22">
        <f t="shared" si="35"/>
        <v>0</v>
      </c>
      <c r="K719" s="22">
        <v>0</v>
      </c>
    </row>
    <row r="720" spans="1:11" x14ac:dyDescent="0.2">
      <c r="A720" s="15">
        <v>714</v>
      </c>
      <c r="B720" s="20">
        <v>260225</v>
      </c>
      <c r="C720" s="21" t="s">
        <v>42</v>
      </c>
      <c r="D720" s="22">
        <v>0</v>
      </c>
      <c r="E720" s="22">
        <f t="shared" si="33"/>
        <v>0</v>
      </c>
      <c r="F720" s="22"/>
      <c r="G720" s="22">
        <v>0</v>
      </c>
      <c r="H720" s="22">
        <v>0</v>
      </c>
      <c r="I720" s="22">
        <f t="shared" si="34"/>
        <v>0</v>
      </c>
      <c r="J720" s="22">
        <f t="shared" si="35"/>
        <v>0</v>
      </c>
      <c r="K720" s="22">
        <v>0</v>
      </c>
    </row>
    <row r="721" spans="1:11" x14ac:dyDescent="0.2">
      <c r="A721" s="15">
        <v>715</v>
      </c>
      <c r="B721" s="20">
        <v>2603</v>
      </c>
      <c r="C721" s="21" t="s">
        <v>361</v>
      </c>
      <c r="D721" s="22">
        <v>0</v>
      </c>
      <c r="E721" s="22">
        <f t="shared" si="33"/>
        <v>0</v>
      </c>
      <c r="F721" s="22">
        <v>0</v>
      </c>
      <c r="G721" s="22">
        <v>0</v>
      </c>
      <c r="H721" s="22">
        <v>468.93610999999999</v>
      </c>
      <c r="I721" s="22">
        <f t="shared" si="34"/>
        <v>468.93610999999999</v>
      </c>
      <c r="J721" s="22">
        <f t="shared" si="35"/>
        <v>468.93610999999999</v>
      </c>
      <c r="K721" s="22"/>
    </row>
    <row r="722" spans="1:11" x14ac:dyDescent="0.2">
      <c r="A722" s="15">
        <v>716</v>
      </c>
      <c r="B722" s="20">
        <v>260305</v>
      </c>
      <c r="C722" s="21" t="s">
        <v>38</v>
      </c>
      <c r="D722" s="22">
        <v>0</v>
      </c>
      <c r="E722" s="22">
        <f t="shared" si="33"/>
        <v>0</v>
      </c>
      <c r="F722" s="22">
        <v>0</v>
      </c>
      <c r="G722" s="22">
        <v>0</v>
      </c>
      <c r="H722" s="22">
        <v>110.78564</v>
      </c>
      <c r="I722" s="22">
        <f t="shared" si="34"/>
        <v>110.78564</v>
      </c>
      <c r="J722" s="22">
        <f t="shared" si="35"/>
        <v>110.78564</v>
      </c>
      <c r="K722" s="22"/>
    </row>
    <row r="723" spans="1:11" x14ac:dyDescent="0.2">
      <c r="A723" s="15">
        <v>717</v>
      </c>
      <c r="B723" s="20">
        <v>260310</v>
      </c>
      <c r="C723" s="21" t="s">
        <v>39</v>
      </c>
      <c r="D723" s="22">
        <v>0</v>
      </c>
      <c r="E723" s="22">
        <f t="shared" si="33"/>
        <v>0</v>
      </c>
      <c r="F723" s="22">
        <v>0</v>
      </c>
      <c r="G723" s="22">
        <v>0</v>
      </c>
      <c r="H723" s="22">
        <v>38.955010000000001</v>
      </c>
      <c r="I723" s="22">
        <f t="shared" si="34"/>
        <v>38.955010000000001</v>
      </c>
      <c r="J723" s="22">
        <f t="shared" si="35"/>
        <v>38.955010000000001</v>
      </c>
      <c r="K723" s="22"/>
    </row>
    <row r="724" spans="1:11" x14ac:dyDescent="0.2">
      <c r="A724" s="15">
        <v>718</v>
      </c>
      <c r="B724" s="20">
        <v>260315</v>
      </c>
      <c r="C724" s="21" t="s">
        <v>40</v>
      </c>
      <c r="D724" s="22">
        <v>0</v>
      </c>
      <c r="E724" s="22">
        <f t="shared" si="33"/>
        <v>0</v>
      </c>
      <c r="F724" s="22">
        <v>0</v>
      </c>
      <c r="G724" s="22">
        <v>0</v>
      </c>
      <c r="H724" s="22">
        <v>109.39696000000001</v>
      </c>
      <c r="I724" s="22">
        <f t="shared" si="34"/>
        <v>109.39696000000001</v>
      </c>
      <c r="J724" s="22">
        <f t="shared" si="35"/>
        <v>109.39696000000001</v>
      </c>
      <c r="K724" s="22"/>
    </row>
    <row r="725" spans="1:11" x14ac:dyDescent="0.2">
      <c r="A725" s="15">
        <v>719</v>
      </c>
      <c r="B725" s="20">
        <v>260320</v>
      </c>
      <c r="C725" s="21" t="s">
        <v>41</v>
      </c>
      <c r="D725" s="22">
        <v>0</v>
      </c>
      <c r="E725" s="22">
        <f t="shared" si="33"/>
        <v>0</v>
      </c>
      <c r="F725" s="22">
        <v>0</v>
      </c>
      <c r="G725" s="22">
        <v>0</v>
      </c>
      <c r="H725" s="22">
        <v>145.12638000000001</v>
      </c>
      <c r="I725" s="22">
        <f t="shared" si="34"/>
        <v>145.12638000000001</v>
      </c>
      <c r="J725" s="22">
        <f t="shared" si="35"/>
        <v>145.12638000000001</v>
      </c>
      <c r="K725" s="22"/>
    </row>
    <row r="726" spans="1:11" x14ac:dyDescent="0.2">
      <c r="A726" s="15">
        <v>720</v>
      </c>
      <c r="B726" s="20">
        <v>260325</v>
      </c>
      <c r="C726" s="21" t="s">
        <v>42</v>
      </c>
      <c r="D726" s="22">
        <v>0</v>
      </c>
      <c r="E726" s="22">
        <f t="shared" si="33"/>
        <v>0</v>
      </c>
      <c r="F726" s="22">
        <v>0</v>
      </c>
      <c r="G726" s="22">
        <v>0</v>
      </c>
      <c r="H726" s="22">
        <v>64.672120000000007</v>
      </c>
      <c r="I726" s="22">
        <f t="shared" si="34"/>
        <v>64.672120000000007</v>
      </c>
      <c r="J726" s="22">
        <f t="shared" si="35"/>
        <v>64.672120000000007</v>
      </c>
      <c r="K726" s="22"/>
    </row>
    <row r="727" spans="1:11" x14ac:dyDescent="0.2">
      <c r="A727" s="15">
        <v>721</v>
      </c>
      <c r="B727" s="20">
        <v>2604</v>
      </c>
      <c r="C727" s="21" t="s">
        <v>362</v>
      </c>
      <c r="D727" s="22"/>
      <c r="E727" s="22">
        <f t="shared" si="33"/>
        <v>0</v>
      </c>
      <c r="F727" s="22"/>
      <c r="G727" s="22"/>
      <c r="H727" s="22"/>
      <c r="I727" s="22">
        <f t="shared" si="34"/>
        <v>0</v>
      </c>
      <c r="J727" s="22">
        <f t="shared" si="35"/>
        <v>0</v>
      </c>
      <c r="K727" s="22"/>
    </row>
    <row r="728" spans="1:11" x14ac:dyDescent="0.2">
      <c r="A728" s="15">
        <v>722</v>
      </c>
      <c r="B728" s="20">
        <v>260405</v>
      </c>
      <c r="C728" s="21" t="s">
        <v>38</v>
      </c>
      <c r="D728" s="22"/>
      <c r="E728" s="22">
        <f t="shared" si="33"/>
        <v>0</v>
      </c>
      <c r="F728" s="22"/>
      <c r="G728" s="22"/>
      <c r="H728" s="22"/>
      <c r="I728" s="22">
        <f t="shared" si="34"/>
        <v>0</v>
      </c>
      <c r="J728" s="22">
        <f t="shared" si="35"/>
        <v>0</v>
      </c>
      <c r="K728" s="22"/>
    </row>
    <row r="729" spans="1:11" x14ac:dyDescent="0.2">
      <c r="A729" s="15">
        <v>723</v>
      </c>
      <c r="B729" s="20">
        <v>260410</v>
      </c>
      <c r="C729" s="21" t="s">
        <v>39</v>
      </c>
      <c r="D729" s="22"/>
      <c r="E729" s="22">
        <f t="shared" si="33"/>
        <v>0</v>
      </c>
      <c r="F729" s="22"/>
      <c r="G729" s="22"/>
      <c r="H729" s="22"/>
      <c r="I729" s="22">
        <f t="shared" si="34"/>
        <v>0</v>
      </c>
      <c r="J729" s="22">
        <f t="shared" si="35"/>
        <v>0</v>
      </c>
      <c r="K729" s="22"/>
    </row>
    <row r="730" spans="1:11" x14ac:dyDescent="0.2">
      <c r="A730" s="15">
        <v>724</v>
      </c>
      <c r="B730" s="20">
        <v>260415</v>
      </c>
      <c r="C730" s="21" t="s">
        <v>40</v>
      </c>
      <c r="D730" s="22"/>
      <c r="E730" s="22">
        <f t="shared" si="33"/>
        <v>0</v>
      </c>
      <c r="F730" s="22"/>
      <c r="G730" s="22"/>
      <c r="H730" s="22"/>
      <c r="I730" s="22">
        <f t="shared" si="34"/>
        <v>0</v>
      </c>
      <c r="J730" s="22">
        <f t="shared" si="35"/>
        <v>0</v>
      </c>
      <c r="K730" s="22"/>
    </row>
    <row r="731" spans="1:11" x14ac:dyDescent="0.2">
      <c r="A731" s="15">
        <v>725</v>
      </c>
      <c r="B731" s="20">
        <v>260420</v>
      </c>
      <c r="C731" s="21" t="s">
        <v>41</v>
      </c>
      <c r="D731" s="22"/>
      <c r="E731" s="22">
        <f t="shared" si="33"/>
        <v>0</v>
      </c>
      <c r="F731" s="22"/>
      <c r="G731" s="22"/>
      <c r="H731" s="22"/>
      <c r="I731" s="22">
        <f t="shared" si="34"/>
        <v>0</v>
      </c>
      <c r="J731" s="22">
        <f t="shared" si="35"/>
        <v>0</v>
      </c>
      <c r="K731" s="22"/>
    </row>
    <row r="732" spans="1:11" x14ac:dyDescent="0.2">
      <c r="A732" s="15">
        <v>726</v>
      </c>
      <c r="B732" s="20">
        <v>260425</v>
      </c>
      <c r="C732" s="21" t="s">
        <v>42</v>
      </c>
      <c r="D732" s="22"/>
      <c r="E732" s="22">
        <f t="shared" si="33"/>
        <v>0</v>
      </c>
      <c r="F732" s="22"/>
      <c r="G732" s="22"/>
      <c r="H732" s="22"/>
      <c r="I732" s="22">
        <f t="shared" si="34"/>
        <v>0</v>
      </c>
      <c r="J732" s="22">
        <f t="shared" si="35"/>
        <v>0</v>
      </c>
      <c r="K732" s="22"/>
    </row>
    <row r="733" spans="1:11" x14ac:dyDescent="0.2">
      <c r="A733" s="15">
        <v>727</v>
      </c>
      <c r="B733" s="20">
        <v>2605</v>
      </c>
      <c r="C733" s="21" t="s">
        <v>363</v>
      </c>
      <c r="D733" s="22"/>
      <c r="E733" s="22">
        <f t="shared" si="33"/>
        <v>0</v>
      </c>
      <c r="F733" s="22"/>
      <c r="G733" s="22"/>
      <c r="H733" s="22"/>
      <c r="I733" s="22">
        <f t="shared" si="34"/>
        <v>0</v>
      </c>
      <c r="J733" s="22">
        <f t="shared" si="35"/>
        <v>0</v>
      </c>
      <c r="K733" s="22"/>
    </row>
    <row r="734" spans="1:11" x14ac:dyDescent="0.2">
      <c r="A734" s="15">
        <v>728</v>
      </c>
      <c r="B734" s="20">
        <v>260505</v>
      </c>
      <c r="C734" s="21" t="s">
        <v>38</v>
      </c>
      <c r="D734" s="22"/>
      <c r="E734" s="22">
        <f t="shared" si="33"/>
        <v>0</v>
      </c>
      <c r="F734" s="22"/>
      <c r="G734" s="22"/>
      <c r="H734" s="22"/>
      <c r="I734" s="22">
        <f t="shared" si="34"/>
        <v>0</v>
      </c>
      <c r="J734" s="22">
        <f t="shared" si="35"/>
        <v>0</v>
      </c>
      <c r="K734" s="22"/>
    </row>
    <row r="735" spans="1:11" x14ac:dyDescent="0.2">
      <c r="A735" s="15">
        <v>729</v>
      </c>
      <c r="B735" s="20">
        <v>260510</v>
      </c>
      <c r="C735" s="21" t="s">
        <v>39</v>
      </c>
      <c r="D735" s="22"/>
      <c r="E735" s="22">
        <f t="shared" si="33"/>
        <v>0</v>
      </c>
      <c r="F735" s="22"/>
      <c r="G735" s="22"/>
      <c r="H735" s="22"/>
      <c r="I735" s="22">
        <f t="shared" si="34"/>
        <v>0</v>
      </c>
      <c r="J735" s="22">
        <f t="shared" si="35"/>
        <v>0</v>
      </c>
      <c r="K735" s="22"/>
    </row>
    <row r="736" spans="1:11" x14ac:dyDescent="0.2">
      <c r="A736" s="15">
        <v>730</v>
      </c>
      <c r="B736" s="20">
        <v>260515</v>
      </c>
      <c r="C736" s="21" t="s">
        <v>40</v>
      </c>
      <c r="D736" s="22"/>
      <c r="E736" s="22">
        <f t="shared" si="33"/>
        <v>0</v>
      </c>
      <c r="F736" s="22"/>
      <c r="G736" s="22"/>
      <c r="H736" s="22"/>
      <c r="I736" s="22">
        <f t="shared" si="34"/>
        <v>0</v>
      </c>
      <c r="J736" s="22">
        <f t="shared" si="35"/>
        <v>0</v>
      </c>
      <c r="K736" s="22"/>
    </row>
    <row r="737" spans="1:11" x14ac:dyDescent="0.2">
      <c r="A737" s="15">
        <v>731</v>
      </c>
      <c r="B737" s="20">
        <v>260520</v>
      </c>
      <c r="C737" s="21" t="s">
        <v>41</v>
      </c>
      <c r="D737" s="22"/>
      <c r="E737" s="22">
        <f t="shared" si="33"/>
        <v>0</v>
      </c>
      <c r="F737" s="22"/>
      <c r="G737" s="22"/>
      <c r="H737" s="22"/>
      <c r="I737" s="22">
        <f t="shared" si="34"/>
        <v>0</v>
      </c>
      <c r="J737" s="22">
        <f t="shared" si="35"/>
        <v>0</v>
      </c>
      <c r="K737" s="22"/>
    </row>
    <row r="738" spans="1:11" x14ac:dyDescent="0.2">
      <c r="A738" s="15">
        <v>732</v>
      </c>
      <c r="B738" s="20">
        <v>260525</v>
      </c>
      <c r="C738" s="21" t="s">
        <v>42</v>
      </c>
      <c r="D738" s="22"/>
      <c r="E738" s="22">
        <f t="shared" si="33"/>
        <v>0</v>
      </c>
      <c r="F738" s="22"/>
      <c r="G738" s="22"/>
      <c r="H738" s="22"/>
      <c r="I738" s="22">
        <f t="shared" si="34"/>
        <v>0</v>
      </c>
      <c r="J738" s="22">
        <f t="shared" si="35"/>
        <v>0</v>
      </c>
      <c r="K738" s="22"/>
    </row>
    <row r="739" spans="1:11" x14ac:dyDescent="0.2">
      <c r="A739" s="15">
        <v>733</v>
      </c>
      <c r="B739" s="20">
        <v>2606</v>
      </c>
      <c r="C739" s="21" t="s">
        <v>364</v>
      </c>
      <c r="D739" s="22">
        <v>0</v>
      </c>
      <c r="E739" s="22">
        <f t="shared" si="33"/>
        <v>0</v>
      </c>
      <c r="F739" s="22">
        <v>0</v>
      </c>
      <c r="G739" s="22">
        <v>236.27256</v>
      </c>
      <c r="H739" s="22">
        <v>0</v>
      </c>
      <c r="I739" s="22">
        <f t="shared" si="34"/>
        <v>236.27256</v>
      </c>
      <c r="J739" s="22">
        <f t="shared" si="35"/>
        <v>236.27256</v>
      </c>
      <c r="K739" s="22"/>
    </row>
    <row r="740" spans="1:11" x14ac:dyDescent="0.2">
      <c r="A740" s="15">
        <v>734</v>
      </c>
      <c r="B740" s="20">
        <v>260605</v>
      </c>
      <c r="C740" s="21" t="s">
        <v>38</v>
      </c>
      <c r="D740" s="22">
        <v>0</v>
      </c>
      <c r="E740" s="22">
        <f t="shared" si="33"/>
        <v>0</v>
      </c>
      <c r="F740" s="22">
        <v>0</v>
      </c>
      <c r="G740" s="22">
        <v>57.240560000000002</v>
      </c>
      <c r="H740" s="22">
        <v>0</v>
      </c>
      <c r="I740" s="22">
        <f t="shared" si="34"/>
        <v>57.240560000000002</v>
      </c>
      <c r="J740" s="22">
        <f t="shared" si="35"/>
        <v>57.240560000000002</v>
      </c>
      <c r="K740" s="22"/>
    </row>
    <row r="741" spans="1:11" x14ac:dyDescent="0.2">
      <c r="A741" s="15">
        <v>735</v>
      </c>
      <c r="B741" s="20">
        <v>260610</v>
      </c>
      <c r="C741" s="21" t="s">
        <v>39</v>
      </c>
      <c r="D741" s="22">
        <v>0</v>
      </c>
      <c r="E741" s="22">
        <f t="shared" si="33"/>
        <v>0</v>
      </c>
      <c r="F741" s="22">
        <v>0</v>
      </c>
      <c r="G741" s="22">
        <v>20.254799999999999</v>
      </c>
      <c r="H741" s="22">
        <v>0</v>
      </c>
      <c r="I741" s="22">
        <f t="shared" si="34"/>
        <v>20.254799999999999</v>
      </c>
      <c r="J741" s="22">
        <f t="shared" si="35"/>
        <v>20.254799999999999</v>
      </c>
      <c r="K741" s="22"/>
    </row>
    <row r="742" spans="1:11" x14ac:dyDescent="0.2">
      <c r="A742" s="15">
        <v>736</v>
      </c>
      <c r="B742" s="20">
        <v>260615</v>
      </c>
      <c r="C742" s="21" t="s">
        <v>40</v>
      </c>
      <c r="D742" s="22">
        <v>0</v>
      </c>
      <c r="E742" s="22">
        <f t="shared" si="33"/>
        <v>0</v>
      </c>
      <c r="F742" s="22">
        <v>0</v>
      </c>
      <c r="G742" s="22">
        <v>12.85553</v>
      </c>
      <c r="H742" s="22">
        <v>0</v>
      </c>
      <c r="I742" s="22">
        <f t="shared" si="34"/>
        <v>12.85553</v>
      </c>
      <c r="J742" s="22">
        <f t="shared" si="35"/>
        <v>12.85553</v>
      </c>
      <c r="K742" s="22"/>
    </row>
    <row r="743" spans="1:11" x14ac:dyDescent="0.2">
      <c r="A743" s="15">
        <v>737</v>
      </c>
      <c r="B743" s="20">
        <v>260620</v>
      </c>
      <c r="C743" s="21" t="s">
        <v>41</v>
      </c>
      <c r="D743" s="22">
        <v>0</v>
      </c>
      <c r="E743" s="22">
        <f t="shared" si="33"/>
        <v>0</v>
      </c>
      <c r="F743" s="22">
        <v>0</v>
      </c>
      <c r="G743" s="22">
        <v>54.878810000000001</v>
      </c>
      <c r="H743" s="22">
        <v>0</v>
      </c>
      <c r="I743" s="22">
        <f t="shared" si="34"/>
        <v>54.878810000000001</v>
      </c>
      <c r="J743" s="22">
        <f t="shared" si="35"/>
        <v>54.878810000000001</v>
      </c>
      <c r="K743" s="22"/>
    </row>
    <row r="744" spans="1:11" x14ac:dyDescent="0.2">
      <c r="A744" s="15">
        <v>738</v>
      </c>
      <c r="B744" s="20">
        <v>260625</v>
      </c>
      <c r="C744" s="21" t="s">
        <v>42</v>
      </c>
      <c r="D744" s="22">
        <v>0</v>
      </c>
      <c r="E744" s="22">
        <f t="shared" si="33"/>
        <v>0</v>
      </c>
      <c r="F744" s="22">
        <v>0</v>
      </c>
      <c r="G744" s="22">
        <v>91.042860000000005</v>
      </c>
      <c r="H744" s="22">
        <v>0</v>
      </c>
      <c r="I744" s="22">
        <f t="shared" si="34"/>
        <v>91.042860000000005</v>
      </c>
      <c r="J744" s="22">
        <f t="shared" si="35"/>
        <v>91.042860000000005</v>
      </c>
      <c r="K744" s="22"/>
    </row>
    <row r="745" spans="1:11" x14ac:dyDescent="0.2">
      <c r="A745" s="15">
        <v>739</v>
      </c>
      <c r="B745" s="20">
        <v>2607</v>
      </c>
      <c r="C745" s="21" t="s">
        <v>365</v>
      </c>
      <c r="D745" s="22">
        <v>917.75852999999995</v>
      </c>
      <c r="E745" s="22">
        <f t="shared" si="33"/>
        <v>917.75852999999995</v>
      </c>
      <c r="F745" s="22">
        <v>13970.07429</v>
      </c>
      <c r="G745" s="22">
        <v>4.9259500000000003</v>
      </c>
      <c r="H745" s="22">
        <v>99579.175310000006</v>
      </c>
      <c r="I745" s="22">
        <f t="shared" si="34"/>
        <v>113554.17555000001</v>
      </c>
      <c r="J745" s="22">
        <f t="shared" si="35"/>
        <v>114471.93408000002</v>
      </c>
      <c r="K745" s="22"/>
    </row>
    <row r="746" spans="1:11" x14ac:dyDescent="0.2">
      <c r="A746" s="15">
        <v>740</v>
      </c>
      <c r="B746" s="20">
        <v>260705</v>
      </c>
      <c r="C746" s="21" t="s">
        <v>38</v>
      </c>
      <c r="D746" s="22">
        <v>0</v>
      </c>
      <c r="E746" s="22">
        <f t="shared" si="33"/>
        <v>0</v>
      </c>
      <c r="F746" s="22">
        <v>0</v>
      </c>
      <c r="G746" s="22">
        <v>0</v>
      </c>
      <c r="H746" s="22">
        <v>37.812959999999997</v>
      </c>
      <c r="I746" s="22">
        <f t="shared" si="34"/>
        <v>37.812959999999997</v>
      </c>
      <c r="J746" s="22">
        <f t="shared" si="35"/>
        <v>37.812959999999997</v>
      </c>
      <c r="K746" s="22"/>
    </row>
    <row r="747" spans="1:11" x14ac:dyDescent="0.2">
      <c r="A747" s="15">
        <v>741</v>
      </c>
      <c r="B747" s="20">
        <v>260710</v>
      </c>
      <c r="C747" s="21" t="s">
        <v>39</v>
      </c>
      <c r="D747" s="22">
        <v>0</v>
      </c>
      <c r="E747" s="22">
        <f t="shared" si="33"/>
        <v>0</v>
      </c>
      <c r="F747" s="22">
        <v>716.73126000000002</v>
      </c>
      <c r="G747" s="22">
        <v>0</v>
      </c>
      <c r="H747" s="22">
        <v>0</v>
      </c>
      <c r="I747" s="22">
        <f t="shared" si="34"/>
        <v>716.73126000000002</v>
      </c>
      <c r="J747" s="22">
        <f t="shared" si="35"/>
        <v>716.73126000000002</v>
      </c>
      <c r="K747" s="22"/>
    </row>
    <row r="748" spans="1:11" x14ac:dyDescent="0.2">
      <c r="A748" s="15">
        <v>742</v>
      </c>
      <c r="B748" s="20">
        <v>260715</v>
      </c>
      <c r="C748" s="21" t="s">
        <v>40</v>
      </c>
      <c r="D748" s="22">
        <v>0</v>
      </c>
      <c r="E748" s="22">
        <f t="shared" si="33"/>
        <v>0</v>
      </c>
      <c r="F748" s="22">
        <v>58.131480000000003</v>
      </c>
      <c r="G748" s="22">
        <v>5.4799999999999996E-3</v>
      </c>
      <c r="H748" s="22">
        <v>11498.333329999999</v>
      </c>
      <c r="I748" s="22">
        <f t="shared" si="34"/>
        <v>11556.470289999999</v>
      </c>
      <c r="J748" s="22">
        <f t="shared" si="35"/>
        <v>11556.470289999999</v>
      </c>
      <c r="K748" s="22"/>
    </row>
    <row r="749" spans="1:11" x14ac:dyDescent="0.2">
      <c r="A749" s="15">
        <v>743</v>
      </c>
      <c r="B749" s="20">
        <v>260720</v>
      </c>
      <c r="C749" s="21" t="s">
        <v>41</v>
      </c>
      <c r="D749" s="22">
        <v>45.854779999999998</v>
      </c>
      <c r="E749" s="22">
        <f t="shared" si="33"/>
        <v>45.854779999999998</v>
      </c>
      <c r="F749" s="22">
        <v>774.86274000000003</v>
      </c>
      <c r="G749" s="22">
        <v>3.1199999999999999E-2</v>
      </c>
      <c r="H749" s="22">
        <v>61606.146289999997</v>
      </c>
      <c r="I749" s="22">
        <f t="shared" si="34"/>
        <v>62381.040229999999</v>
      </c>
      <c r="J749" s="22">
        <f t="shared" si="35"/>
        <v>62426.89501</v>
      </c>
      <c r="K749" s="22"/>
    </row>
    <row r="750" spans="1:11" x14ac:dyDescent="0.2">
      <c r="A750" s="15">
        <v>744</v>
      </c>
      <c r="B750" s="20">
        <v>260725</v>
      </c>
      <c r="C750" s="21" t="s">
        <v>42</v>
      </c>
      <c r="D750" s="22">
        <v>871.90374999999995</v>
      </c>
      <c r="E750" s="22">
        <f t="shared" si="33"/>
        <v>871.90374999999995</v>
      </c>
      <c r="F750" s="22">
        <v>12420.34881</v>
      </c>
      <c r="G750" s="22">
        <v>4.8892699999999998</v>
      </c>
      <c r="H750" s="22">
        <v>26436.882730000001</v>
      </c>
      <c r="I750" s="22">
        <f t="shared" si="34"/>
        <v>38862.12081</v>
      </c>
      <c r="J750" s="22">
        <f t="shared" si="35"/>
        <v>39734.024559999998</v>
      </c>
      <c r="K750" s="22"/>
    </row>
    <row r="751" spans="1:11" x14ac:dyDescent="0.2">
      <c r="A751" s="15">
        <v>745</v>
      </c>
      <c r="B751" s="20">
        <v>2608</v>
      </c>
      <c r="C751" s="21" t="s">
        <v>366</v>
      </c>
      <c r="D751" s="22">
        <v>0</v>
      </c>
      <c r="E751" s="22">
        <f t="shared" si="33"/>
        <v>0</v>
      </c>
      <c r="F751" s="22"/>
      <c r="G751" s="22">
        <v>0</v>
      </c>
      <c r="H751" s="22">
        <v>0</v>
      </c>
      <c r="I751" s="22">
        <f t="shared" si="34"/>
        <v>0</v>
      </c>
      <c r="J751" s="22">
        <f t="shared" si="35"/>
        <v>0</v>
      </c>
      <c r="K751" s="22">
        <v>0</v>
      </c>
    </row>
    <row r="752" spans="1:11" x14ac:dyDescent="0.2">
      <c r="A752" s="15">
        <v>746</v>
      </c>
      <c r="B752" s="20">
        <v>260805</v>
      </c>
      <c r="C752" s="21" t="s">
        <v>38</v>
      </c>
      <c r="D752" s="22">
        <v>0</v>
      </c>
      <c r="E752" s="22">
        <f t="shared" si="33"/>
        <v>0</v>
      </c>
      <c r="F752" s="22"/>
      <c r="G752" s="22">
        <v>0</v>
      </c>
      <c r="H752" s="22">
        <v>0</v>
      </c>
      <c r="I752" s="22">
        <f t="shared" si="34"/>
        <v>0</v>
      </c>
      <c r="J752" s="22">
        <f t="shared" si="35"/>
        <v>0</v>
      </c>
      <c r="K752" s="22">
        <v>0</v>
      </c>
    </row>
    <row r="753" spans="1:11" x14ac:dyDescent="0.2">
      <c r="A753" s="15">
        <v>747</v>
      </c>
      <c r="B753" s="20">
        <v>260810</v>
      </c>
      <c r="C753" s="21" t="s">
        <v>39</v>
      </c>
      <c r="D753" s="22">
        <v>0</v>
      </c>
      <c r="E753" s="22">
        <f t="shared" si="33"/>
        <v>0</v>
      </c>
      <c r="F753" s="22"/>
      <c r="G753" s="22">
        <v>0</v>
      </c>
      <c r="H753" s="22">
        <v>0</v>
      </c>
      <c r="I753" s="22">
        <f t="shared" si="34"/>
        <v>0</v>
      </c>
      <c r="J753" s="22">
        <f t="shared" si="35"/>
        <v>0</v>
      </c>
      <c r="K753" s="22">
        <v>0</v>
      </c>
    </row>
    <row r="754" spans="1:11" x14ac:dyDescent="0.2">
      <c r="A754" s="15">
        <v>748</v>
      </c>
      <c r="B754" s="20">
        <v>260815</v>
      </c>
      <c r="C754" s="21" t="s">
        <v>40</v>
      </c>
      <c r="D754" s="22">
        <v>0</v>
      </c>
      <c r="E754" s="22">
        <f t="shared" si="33"/>
        <v>0</v>
      </c>
      <c r="F754" s="22"/>
      <c r="G754" s="22">
        <v>0</v>
      </c>
      <c r="H754" s="22">
        <v>0</v>
      </c>
      <c r="I754" s="22">
        <f t="shared" si="34"/>
        <v>0</v>
      </c>
      <c r="J754" s="22">
        <f t="shared" si="35"/>
        <v>0</v>
      </c>
      <c r="K754" s="22">
        <v>0</v>
      </c>
    </row>
    <row r="755" spans="1:11" x14ac:dyDescent="0.2">
      <c r="A755" s="15">
        <v>749</v>
      </c>
      <c r="B755" s="20">
        <v>260820</v>
      </c>
      <c r="C755" s="21" t="s">
        <v>41</v>
      </c>
      <c r="D755" s="22">
        <v>0</v>
      </c>
      <c r="E755" s="22">
        <f t="shared" si="33"/>
        <v>0</v>
      </c>
      <c r="F755" s="22"/>
      <c r="G755" s="22">
        <v>0</v>
      </c>
      <c r="H755" s="22">
        <v>0</v>
      </c>
      <c r="I755" s="22">
        <f t="shared" si="34"/>
        <v>0</v>
      </c>
      <c r="J755" s="22">
        <f t="shared" si="35"/>
        <v>0</v>
      </c>
      <c r="K755" s="22">
        <v>0</v>
      </c>
    </row>
    <row r="756" spans="1:11" x14ac:dyDescent="0.2">
      <c r="A756" s="15">
        <v>750</v>
      </c>
      <c r="B756" s="20">
        <v>260825</v>
      </c>
      <c r="C756" s="21" t="s">
        <v>42</v>
      </c>
      <c r="D756" s="22">
        <v>0</v>
      </c>
      <c r="E756" s="22">
        <f t="shared" si="33"/>
        <v>0</v>
      </c>
      <c r="F756" s="22"/>
      <c r="G756" s="22">
        <v>0</v>
      </c>
      <c r="H756" s="22">
        <v>0</v>
      </c>
      <c r="I756" s="22">
        <f t="shared" si="34"/>
        <v>0</v>
      </c>
      <c r="J756" s="22">
        <f t="shared" si="35"/>
        <v>0</v>
      </c>
      <c r="K756" s="22">
        <v>0</v>
      </c>
    </row>
    <row r="757" spans="1:11" x14ac:dyDescent="0.2">
      <c r="A757" s="15">
        <v>751</v>
      </c>
      <c r="B757" s="20">
        <v>2609</v>
      </c>
      <c r="C757" s="21" t="s">
        <v>367</v>
      </c>
      <c r="D757" s="22"/>
      <c r="E757" s="22">
        <f t="shared" si="33"/>
        <v>0</v>
      </c>
      <c r="F757" s="22"/>
      <c r="G757" s="22"/>
      <c r="H757" s="22"/>
      <c r="I757" s="22">
        <f t="shared" si="34"/>
        <v>0</v>
      </c>
      <c r="J757" s="22">
        <f t="shared" si="35"/>
        <v>0</v>
      </c>
      <c r="K757" s="22"/>
    </row>
    <row r="758" spans="1:11" x14ac:dyDescent="0.2">
      <c r="A758" s="15">
        <v>752</v>
      </c>
      <c r="B758" s="20">
        <v>260905</v>
      </c>
      <c r="C758" s="21" t="s">
        <v>38</v>
      </c>
      <c r="D758" s="22"/>
      <c r="E758" s="22">
        <f t="shared" si="33"/>
        <v>0</v>
      </c>
      <c r="F758" s="22"/>
      <c r="G758" s="22"/>
      <c r="H758" s="22"/>
      <c r="I758" s="22">
        <f t="shared" si="34"/>
        <v>0</v>
      </c>
      <c r="J758" s="22">
        <f t="shared" si="35"/>
        <v>0</v>
      </c>
      <c r="K758" s="22"/>
    </row>
    <row r="759" spans="1:11" x14ac:dyDescent="0.2">
      <c r="A759" s="15">
        <v>753</v>
      </c>
      <c r="B759" s="20">
        <v>260910</v>
      </c>
      <c r="C759" s="21" t="s">
        <v>39</v>
      </c>
      <c r="D759" s="22"/>
      <c r="E759" s="22">
        <f t="shared" si="33"/>
        <v>0</v>
      </c>
      <c r="F759" s="22"/>
      <c r="G759" s="22"/>
      <c r="H759" s="22"/>
      <c r="I759" s="22">
        <f t="shared" si="34"/>
        <v>0</v>
      </c>
      <c r="J759" s="22">
        <f t="shared" si="35"/>
        <v>0</v>
      </c>
      <c r="K759" s="22"/>
    </row>
    <row r="760" spans="1:11" x14ac:dyDescent="0.2">
      <c r="A760" s="15">
        <v>754</v>
      </c>
      <c r="B760" s="20">
        <v>260915</v>
      </c>
      <c r="C760" s="21" t="s">
        <v>40</v>
      </c>
      <c r="D760" s="22"/>
      <c r="E760" s="22">
        <f t="shared" si="33"/>
        <v>0</v>
      </c>
      <c r="F760" s="22"/>
      <c r="G760" s="22"/>
      <c r="H760" s="22"/>
      <c r="I760" s="22">
        <f t="shared" si="34"/>
        <v>0</v>
      </c>
      <c r="J760" s="22">
        <f t="shared" si="35"/>
        <v>0</v>
      </c>
      <c r="K760" s="22"/>
    </row>
    <row r="761" spans="1:11" x14ac:dyDescent="0.2">
      <c r="A761" s="15">
        <v>755</v>
      </c>
      <c r="B761" s="20">
        <v>260920</v>
      </c>
      <c r="C761" s="21" t="s">
        <v>41</v>
      </c>
      <c r="D761" s="22"/>
      <c r="E761" s="22">
        <f t="shared" si="33"/>
        <v>0</v>
      </c>
      <c r="F761" s="22"/>
      <c r="G761" s="22"/>
      <c r="H761" s="22"/>
      <c r="I761" s="22">
        <f t="shared" si="34"/>
        <v>0</v>
      </c>
      <c r="J761" s="22">
        <f t="shared" si="35"/>
        <v>0</v>
      </c>
      <c r="K761" s="22"/>
    </row>
    <row r="762" spans="1:11" x14ac:dyDescent="0.2">
      <c r="A762" s="15">
        <v>756</v>
      </c>
      <c r="B762" s="20">
        <v>260925</v>
      </c>
      <c r="C762" s="21" t="s">
        <v>42</v>
      </c>
      <c r="D762" s="22"/>
      <c r="E762" s="22">
        <f t="shared" si="33"/>
        <v>0</v>
      </c>
      <c r="F762" s="22"/>
      <c r="G762" s="22"/>
      <c r="H762" s="22"/>
      <c r="I762" s="22">
        <f t="shared" si="34"/>
        <v>0</v>
      </c>
      <c r="J762" s="22">
        <f t="shared" si="35"/>
        <v>0</v>
      </c>
      <c r="K762" s="22"/>
    </row>
    <row r="763" spans="1:11" x14ac:dyDescent="0.2">
      <c r="A763" s="15">
        <v>757</v>
      </c>
      <c r="B763" s="20">
        <v>2690</v>
      </c>
      <c r="C763" s="21" t="s">
        <v>368</v>
      </c>
      <c r="D763" s="22">
        <v>0</v>
      </c>
      <c r="E763" s="22">
        <f t="shared" si="33"/>
        <v>0</v>
      </c>
      <c r="F763" s="22"/>
      <c r="G763" s="22">
        <v>0</v>
      </c>
      <c r="H763" s="22">
        <v>0</v>
      </c>
      <c r="I763" s="22">
        <f t="shared" si="34"/>
        <v>0</v>
      </c>
      <c r="J763" s="22">
        <f t="shared" si="35"/>
        <v>0</v>
      </c>
      <c r="K763" s="22">
        <v>0</v>
      </c>
    </row>
    <row r="764" spans="1:11" x14ac:dyDescent="0.2">
      <c r="A764" s="15">
        <v>758</v>
      </c>
      <c r="B764" s="20">
        <v>269005</v>
      </c>
      <c r="C764" s="21" t="s">
        <v>38</v>
      </c>
      <c r="D764" s="22">
        <v>0</v>
      </c>
      <c r="E764" s="22">
        <f t="shared" si="33"/>
        <v>0</v>
      </c>
      <c r="F764" s="22"/>
      <c r="G764" s="22">
        <v>0</v>
      </c>
      <c r="H764" s="22">
        <v>0</v>
      </c>
      <c r="I764" s="22">
        <f t="shared" si="34"/>
        <v>0</v>
      </c>
      <c r="J764" s="22">
        <f t="shared" si="35"/>
        <v>0</v>
      </c>
      <c r="K764" s="22">
        <v>0</v>
      </c>
    </row>
    <row r="765" spans="1:11" x14ac:dyDescent="0.2">
      <c r="A765" s="15">
        <v>759</v>
      </c>
      <c r="B765" s="20">
        <v>269010</v>
      </c>
      <c r="C765" s="21" t="s">
        <v>39</v>
      </c>
      <c r="D765" s="22">
        <v>0</v>
      </c>
      <c r="E765" s="22">
        <f t="shared" si="33"/>
        <v>0</v>
      </c>
      <c r="F765" s="22"/>
      <c r="G765" s="22">
        <v>0</v>
      </c>
      <c r="H765" s="22">
        <v>0</v>
      </c>
      <c r="I765" s="22">
        <f t="shared" si="34"/>
        <v>0</v>
      </c>
      <c r="J765" s="22">
        <f t="shared" si="35"/>
        <v>0</v>
      </c>
      <c r="K765" s="22">
        <v>0</v>
      </c>
    </row>
    <row r="766" spans="1:11" x14ac:dyDescent="0.2">
      <c r="A766" s="15">
        <v>760</v>
      </c>
      <c r="B766" s="20">
        <v>269015</v>
      </c>
      <c r="C766" s="21" t="s">
        <v>40</v>
      </c>
      <c r="D766" s="22">
        <v>0</v>
      </c>
      <c r="E766" s="22">
        <f t="shared" si="33"/>
        <v>0</v>
      </c>
      <c r="F766" s="22"/>
      <c r="G766" s="22">
        <v>0</v>
      </c>
      <c r="H766" s="22">
        <v>0</v>
      </c>
      <c r="I766" s="22">
        <f t="shared" si="34"/>
        <v>0</v>
      </c>
      <c r="J766" s="22">
        <f t="shared" si="35"/>
        <v>0</v>
      </c>
      <c r="K766" s="22">
        <v>0</v>
      </c>
    </row>
    <row r="767" spans="1:11" x14ac:dyDescent="0.2">
      <c r="A767" s="15">
        <v>761</v>
      </c>
      <c r="B767" s="20">
        <v>269020</v>
      </c>
      <c r="C767" s="21" t="s">
        <v>41</v>
      </c>
      <c r="D767" s="22">
        <v>0</v>
      </c>
      <c r="E767" s="22">
        <f t="shared" si="33"/>
        <v>0</v>
      </c>
      <c r="F767" s="22"/>
      <c r="G767" s="22">
        <v>0</v>
      </c>
      <c r="H767" s="22">
        <v>0</v>
      </c>
      <c r="I767" s="22">
        <f t="shared" si="34"/>
        <v>0</v>
      </c>
      <c r="J767" s="22">
        <f t="shared" si="35"/>
        <v>0</v>
      </c>
      <c r="K767" s="22">
        <v>0</v>
      </c>
    </row>
    <row r="768" spans="1:11" x14ac:dyDescent="0.2">
      <c r="A768" s="15">
        <v>762</v>
      </c>
      <c r="B768" s="20">
        <v>269025</v>
      </c>
      <c r="C768" s="21" t="s">
        <v>42</v>
      </c>
      <c r="D768" s="22">
        <v>0</v>
      </c>
      <c r="E768" s="22">
        <f t="shared" si="33"/>
        <v>0</v>
      </c>
      <c r="F768" s="22"/>
      <c r="G768" s="22">
        <v>0</v>
      </c>
      <c r="H768" s="22">
        <v>0</v>
      </c>
      <c r="I768" s="22">
        <f t="shared" si="34"/>
        <v>0</v>
      </c>
      <c r="J768" s="22">
        <f t="shared" si="35"/>
        <v>0</v>
      </c>
      <c r="K768" s="22">
        <v>0</v>
      </c>
    </row>
    <row r="769" spans="1:11" x14ac:dyDescent="0.2">
      <c r="A769" s="15">
        <v>763</v>
      </c>
      <c r="B769" s="20">
        <v>27</v>
      </c>
      <c r="C769" s="21" t="s">
        <v>369</v>
      </c>
      <c r="D769" s="22">
        <v>0</v>
      </c>
      <c r="E769" s="22">
        <f t="shared" si="33"/>
        <v>0</v>
      </c>
      <c r="F769" s="22">
        <v>0</v>
      </c>
      <c r="G769" s="22">
        <v>0</v>
      </c>
      <c r="H769" s="22">
        <v>0</v>
      </c>
      <c r="I769" s="22">
        <f t="shared" si="34"/>
        <v>0</v>
      </c>
      <c r="J769" s="22">
        <f t="shared" si="35"/>
        <v>0</v>
      </c>
      <c r="K769" s="22"/>
    </row>
    <row r="770" spans="1:11" x14ac:dyDescent="0.2">
      <c r="A770" s="15">
        <v>764</v>
      </c>
      <c r="B770" s="20">
        <v>2701</v>
      </c>
      <c r="C770" s="21" t="s">
        <v>324</v>
      </c>
      <c r="D770" s="22">
        <v>0</v>
      </c>
      <c r="E770" s="22">
        <f t="shared" si="33"/>
        <v>0</v>
      </c>
      <c r="F770" s="22">
        <v>0</v>
      </c>
      <c r="G770" s="22">
        <v>0</v>
      </c>
      <c r="H770" s="22">
        <v>0</v>
      </c>
      <c r="I770" s="22">
        <f t="shared" si="34"/>
        <v>0</v>
      </c>
      <c r="J770" s="22">
        <f t="shared" si="35"/>
        <v>0</v>
      </c>
      <c r="K770" s="22"/>
    </row>
    <row r="771" spans="1:11" x14ac:dyDescent="0.2">
      <c r="A771" s="15">
        <v>765</v>
      </c>
      <c r="B771" s="20">
        <v>270105</v>
      </c>
      <c r="C771" s="21" t="s">
        <v>370</v>
      </c>
      <c r="D771" s="22">
        <v>0</v>
      </c>
      <c r="E771" s="22">
        <f t="shared" si="33"/>
        <v>0</v>
      </c>
      <c r="F771" s="22">
        <v>0</v>
      </c>
      <c r="G771" s="22">
        <v>0</v>
      </c>
      <c r="H771" s="22">
        <v>0</v>
      </c>
      <c r="I771" s="22">
        <f t="shared" si="34"/>
        <v>0</v>
      </c>
      <c r="J771" s="22">
        <f t="shared" si="35"/>
        <v>0</v>
      </c>
      <c r="K771" s="22"/>
    </row>
    <row r="772" spans="1:11" x14ac:dyDescent="0.2">
      <c r="A772" s="15">
        <v>766</v>
      </c>
      <c r="B772" s="20">
        <v>270110</v>
      </c>
      <c r="C772" s="21" t="s">
        <v>371</v>
      </c>
      <c r="D772" s="22"/>
      <c r="E772" s="22">
        <f t="shared" si="33"/>
        <v>0</v>
      </c>
      <c r="F772" s="22"/>
      <c r="G772" s="22"/>
      <c r="H772" s="22">
        <v>0</v>
      </c>
      <c r="I772" s="22">
        <f t="shared" si="34"/>
        <v>0</v>
      </c>
      <c r="J772" s="22">
        <f t="shared" si="35"/>
        <v>0</v>
      </c>
      <c r="K772" s="22"/>
    </row>
    <row r="773" spans="1:11" x14ac:dyDescent="0.2">
      <c r="A773" s="15">
        <v>767</v>
      </c>
      <c r="B773" s="20">
        <v>270115</v>
      </c>
      <c r="C773" s="21" t="s">
        <v>372</v>
      </c>
      <c r="D773" s="22"/>
      <c r="E773" s="22">
        <f t="shared" si="33"/>
        <v>0</v>
      </c>
      <c r="F773" s="22"/>
      <c r="G773" s="22"/>
      <c r="H773" s="22"/>
      <c r="I773" s="22">
        <f t="shared" si="34"/>
        <v>0</v>
      </c>
      <c r="J773" s="22">
        <f t="shared" si="35"/>
        <v>0</v>
      </c>
      <c r="K773" s="22"/>
    </row>
    <row r="774" spans="1:11" x14ac:dyDescent="0.2">
      <c r="A774" s="15">
        <v>768</v>
      </c>
      <c r="B774" s="20">
        <v>2702</v>
      </c>
      <c r="C774" s="21" t="s">
        <v>325</v>
      </c>
      <c r="D774" s="22">
        <v>0</v>
      </c>
      <c r="E774" s="22">
        <f t="shared" si="33"/>
        <v>0</v>
      </c>
      <c r="F774" s="22">
        <v>0</v>
      </c>
      <c r="G774" s="22">
        <v>0</v>
      </c>
      <c r="H774" s="22">
        <v>0</v>
      </c>
      <c r="I774" s="22">
        <f t="shared" si="34"/>
        <v>0</v>
      </c>
      <c r="J774" s="22">
        <f t="shared" si="35"/>
        <v>0</v>
      </c>
      <c r="K774" s="22"/>
    </row>
    <row r="775" spans="1:11" x14ac:dyDescent="0.2">
      <c r="A775" s="15">
        <v>769</v>
      </c>
      <c r="B775" s="20">
        <v>270205</v>
      </c>
      <c r="C775" s="21" t="s">
        <v>373</v>
      </c>
      <c r="D775" s="22"/>
      <c r="E775" s="22">
        <f t="shared" si="33"/>
        <v>0</v>
      </c>
      <c r="F775" s="22"/>
      <c r="G775" s="22"/>
      <c r="H775" s="22"/>
      <c r="I775" s="22">
        <f t="shared" si="34"/>
        <v>0</v>
      </c>
      <c r="J775" s="22">
        <f t="shared" si="35"/>
        <v>0</v>
      </c>
      <c r="K775" s="22"/>
    </row>
    <row r="776" spans="1:11" x14ac:dyDescent="0.2">
      <c r="A776" s="15">
        <v>770</v>
      </c>
      <c r="B776" s="20">
        <v>270210</v>
      </c>
      <c r="C776" s="21" t="s">
        <v>374</v>
      </c>
      <c r="D776" s="22">
        <v>0</v>
      </c>
      <c r="E776" s="22">
        <f t="shared" si="33"/>
        <v>0</v>
      </c>
      <c r="F776" s="22">
        <v>0</v>
      </c>
      <c r="G776" s="22">
        <v>0</v>
      </c>
      <c r="H776" s="22">
        <v>0</v>
      </c>
      <c r="I776" s="22">
        <f t="shared" si="34"/>
        <v>0</v>
      </c>
      <c r="J776" s="22">
        <f t="shared" si="35"/>
        <v>0</v>
      </c>
      <c r="K776" s="22"/>
    </row>
    <row r="777" spans="1:11" x14ac:dyDescent="0.2">
      <c r="A777" s="15">
        <v>771</v>
      </c>
      <c r="B777" s="20">
        <v>2703</v>
      </c>
      <c r="C777" s="21" t="s">
        <v>201</v>
      </c>
      <c r="D777" s="22">
        <v>0</v>
      </c>
      <c r="E777" s="22">
        <f t="shared" si="33"/>
        <v>0</v>
      </c>
      <c r="F777" s="22">
        <v>0</v>
      </c>
      <c r="G777" s="22">
        <v>0</v>
      </c>
      <c r="H777" s="22">
        <v>0</v>
      </c>
      <c r="I777" s="22">
        <f t="shared" si="34"/>
        <v>0</v>
      </c>
      <c r="J777" s="22">
        <f t="shared" si="35"/>
        <v>0</v>
      </c>
      <c r="K777" s="22"/>
    </row>
    <row r="778" spans="1:11" x14ac:dyDescent="0.2">
      <c r="A778" s="15">
        <v>772</v>
      </c>
      <c r="B778" s="20">
        <v>270305</v>
      </c>
      <c r="C778" s="21" t="s">
        <v>375</v>
      </c>
      <c r="D778" s="22"/>
      <c r="E778" s="22">
        <f t="shared" ref="E778:E841" si="36">+D778</f>
        <v>0</v>
      </c>
      <c r="F778" s="22"/>
      <c r="G778" s="22">
        <v>0</v>
      </c>
      <c r="H778" s="22"/>
      <c r="I778" s="22">
        <f t="shared" ref="I778:I841" si="37">+SUM(F778:H778)</f>
        <v>0</v>
      </c>
      <c r="J778" s="22">
        <f t="shared" ref="J778:J841" si="38">+E778+I778</f>
        <v>0</v>
      </c>
      <c r="K778" s="22"/>
    </row>
    <row r="779" spans="1:11" x14ac:dyDescent="0.2">
      <c r="A779" s="15">
        <v>773</v>
      </c>
      <c r="B779" s="20">
        <v>270310</v>
      </c>
      <c r="C779" s="21" t="s">
        <v>376</v>
      </c>
      <c r="D779" s="22"/>
      <c r="E779" s="22">
        <f t="shared" si="36"/>
        <v>0</v>
      </c>
      <c r="F779" s="22"/>
      <c r="G779" s="22"/>
      <c r="H779" s="22">
        <v>0</v>
      </c>
      <c r="I779" s="22">
        <f t="shared" si="37"/>
        <v>0</v>
      </c>
      <c r="J779" s="22">
        <f t="shared" si="38"/>
        <v>0</v>
      </c>
      <c r="K779" s="22"/>
    </row>
    <row r="780" spans="1:11" x14ac:dyDescent="0.2">
      <c r="A780" s="15">
        <v>774</v>
      </c>
      <c r="B780" s="20">
        <v>270315</v>
      </c>
      <c r="C780" s="21" t="s">
        <v>377</v>
      </c>
      <c r="D780" s="22"/>
      <c r="E780" s="22">
        <f t="shared" si="36"/>
        <v>0</v>
      </c>
      <c r="F780" s="22"/>
      <c r="G780" s="22">
        <v>0</v>
      </c>
      <c r="H780" s="22"/>
      <c r="I780" s="22">
        <f t="shared" si="37"/>
        <v>0</v>
      </c>
      <c r="J780" s="22">
        <f t="shared" si="38"/>
        <v>0</v>
      </c>
      <c r="K780" s="22"/>
    </row>
    <row r="781" spans="1:11" x14ac:dyDescent="0.2">
      <c r="A781" s="15">
        <v>775</v>
      </c>
      <c r="B781" s="20">
        <v>270390</v>
      </c>
      <c r="C781" s="21" t="s">
        <v>201</v>
      </c>
      <c r="D781" s="22">
        <v>0</v>
      </c>
      <c r="E781" s="22">
        <f t="shared" si="36"/>
        <v>0</v>
      </c>
      <c r="F781" s="22">
        <v>0</v>
      </c>
      <c r="G781" s="22">
        <v>0</v>
      </c>
      <c r="H781" s="22">
        <v>0</v>
      </c>
      <c r="I781" s="22">
        <f t="shared" si="37"/>
        <v>0</v>
      </c>
      <c r="J781" s="22">
        <f t="shared" si="38"/>
        <v>0</v>
      </c>
      <c r="K781" s="22"/>
    </row>
    <row r="782" spans="1:11" x14ac:dyDescent="0.2">
      <c r="A782" s="15">
        <v>776</v>
      </c>
      <c r="B782" s="20">
        <v>2790</v>
      </c>
      <c r="C782" s="21" t="s">
        <v>378</v>
      </c>
      <c r="D782" s="22">
        <v>0</v>
      </c>
      <c r="E782" s="22">
        <f t="shared" si="36"/>
        <v>0</v>
      </c>
      <c r="F782" s="22">
        <v>0</v>
      </c>
      <c r="G782" s="22">
        <v>0</v>
      </c>
      <c r="H782" s="22">
        <v>0</v>
      </c>
      <c r="I782" s="22">
        <f t="shared" si="37"/>
        <v>0</v>
      </c>
      <c r="J782" s="22">
        <f t="shared" si="38"/>
        <v>0</v>
      </c>
      <c r="K782" s="22"/>
    </row>
    <row r="783" spans="1:11" x14ac:dyDescent="0.2">
      <c r="A783" s="15">
        <v>777</v>
      </c>
      <c r="B783" s="20">
        <v>28</v>
      </c>
      <c r="C783" s="21" t="s">
        <v>379</v>
      </c>
      <c r="D783" s="22">
        <v>0</v>
      </c>
      <c r="E783" s="22">
        <f t="shared" si="36"/>
        <v>0</v>
      </c>
      <c r="F783" s="22">
        <v>0</v>
      </c>
      <c r="G783" s="22">
        <v>0</v>
      </c>
      <c r="H783" s="22">
        <v>0</v>
      </c>
      <c r="I783" s="22">
        <f t="shared" si="37"/>
        <v>0</v>
      </c>
      <c r="J783" s="22">
        <f t="shared" si="38"/>
        <v>0</v>
      </c>
      <c r="K783" s="22">
        <v>0</v>
      </c>
    </row>
    <row r="784" spans="1:11" x14ac:dyDescent="0.2">
      <c r="A784" s="15">
        <v>778</v>
      </c>
      <c r="B784" s="20">
        <v>2801</v>
      </c>
      <c r="C784" s="21" t="s">
        <v>380</v>
      </c>
      <c r="D784" s="22"/>
      <c r="E784" s="22">
        <f t="shared" si="36"/>
        <v>0</v>
      </c>
      <c r="F784" s="22"/>
      <c r="G784" s="22"/>
      <c r="H784" s="22"/>
      <c r="I784" s="22">
        <f t="shared" si="37"/>
        <v>0</v>
      </c>
      <c r="J784" s="22">
        <f t="shared" si="38"/>
        <v>0</v>
      </c>
      <c r="K784" s="22"/>
    </row>
    <row r="785" spans="1:11" x14ac:dyDescent="0.2">
      <c r="A785" s="15">
        <v>779</v>
      </c>
      <c r="B785" s="20">
        <v>280105</v>
      </c>
      <c r="C785" s="21" t="s">
        <v>380</v>
      </c>
      <c r="D785" s="22"/>
      <c r="E785" s="22">
        <f t="shared" si="36"/>
        <v>0</v>
      </c>
      <c r="F785" s="22"/>
      <c r="G785" s="22"/>
      <c r="H785" s="22"/>
      <c r="I785" s="22">
        <f t="shared" si="37"/>
        <v>0</v>
      </c>
      <c r="J785" s="22">
        <f t="shared" si="38"/>
        <v>0</v>
      </c>
      <c r="K785" s="22"/>
    </row>
    <row r="786" spans="1:11" x14ac:dyDescent="0.2">
      <c r="A786" s="15">
        <v>780</v>
      </c>
      <c r="B786" s="20">
        <v>280110</v>
      </c>
      <c r="C786" s="21" t="s">
        <v>381</v>
      </c>
      <c r="D786" s="22"/>
      <c r="E786" s="22">
        <f t="shared" si="36"/>
        <v>0</v>
      </c>
      <c r="F786" s="22"/>
      <c r="G786" s="22"/>
      <c r="H786" s="22"/>
      <c r="I786" s="22">
        <f t="shared" si="37"/>
        <v>0</v>
      </c>
      <c r="J786" s="22">
        <f t="shared" si="38"/>
        <v>0</v>
      </c>
      <c r="K786" s="22"/>
    </row>
    <row r="787" spans="1:11" x14ac:dyDescent="0.2">
      <c r="A787" s="15">
        <v>781</v>
      </c>
      <c r="B787" s="20">
        <v>2802</v>
      </c>
      <c r="C787" s="21" t="s">
        <v>382</v>
      </c>
      <c r="D787" s="22">
        <v>0</v>
      </c>
      <c r="E787" s="22">
        <f t="shared" si="36"/>
        <v>0</v>
      </c>
      <c r="F787" s="22">
        <v>0</v>
      </c>
      <c r="G787" s="22">
        <v>0</v>
      </c>
      <c r="H787" s="22">
        <v>0</v>
      </c>
      <c r="I787" s="22">
        <f t="shared" si="37"/>
        <v>0</v>
      </c>
      <c r="J787" s="22">
        <f t="shared" si="38"/>
        <v>0</v>
      </c>
      <c r="K787" s="22">
        <v>0</v>
      </c>
    </row>
    <row r="788" spans="1:11" x14ac:dyDescent="0.2">
      <c r="A788" s="15">
        <v>782</v>
      </c>
      <c r="B788" s="20">
        <v>29</v>
      </c>
      <c r="C788" s="21" t="s">
        <v>383</v>
      </c>
      <c r="D788" s="22">
        <v>14281.50799</v>
      </c>
      <c r="E788" s="22">
        <f t="shared" si="36"/>
        <v>14281.50799</v>
      </c>
      <c r="F788" s="22">
        <v>363660.78824999998</v>
      </c>
      <c r="G788" s="22">
        <v>47379.890800000001</v>
      </c>
      <c r="H788" s="22">
        <v>1986.6985999999999</v>
      </c>
      <c r="I788" s="22">
        <f t="shared" si="37"/>
        <v>413027.37764999998</v>
      </c>
      <c r="J788" s="22">
        <f t="shared" si="38"/>
        <v>427308.88563999999</v>
      </c>
      <c r="K788" s="22">
        <v>35633.31205</v>
      </c>
    </row>
    <row r="789" spans="1:11" x14ac:dyDescent="0.2">
      <c r="A789" s="15">
        <v>783</v>
      </c>
      <c r="B789" s="20">
        <v>2901</v>
      </c>
      <c r="C789" s="21" t="s">
        <v>384</v>
      </c>
      <c r="D789" s="22">
        <v>1546.9684999999999</v>
      </c>
      <c r="E789" s="22">
        <f t="shared" si="36"/>
        <v>1546.9684999999999</v>
      </c>
      <c r="F789" s="22">
        <v>747.18372999999997</v>
      </c>
      <c r="G789" s="22">
        <v>128.72508999999999</v>
      </c>
      <c r="H789" s="22">
        <v>0</v>
      </c>
      <c r="I789" s="22">
        <f t="shared" si="37"/>
        <v>875.90881999999999</v>
      </c>
      <c r="J789" s="22">
        <f t="shared" si="38"/>
        <v>2422.8773200000001</v>
      </c>
      <c r="K789" s="22">
        <v>0</v>
      </c>
    </row>
    <row r="790" spans="1:11" x14ac:dyDescent="0.2">
      <c r="A790" s="15">
        <v>784</v>
      </c>
      <c r="B790" s="20">
        <v>290105</v>
      </c>
      <c r="C790" s="21" t="s">
        <v>385</v>
      </c>
      <c r="D790" s="22"/>
      <c r="E790" s="22">
        <f t="shared" si="36"/>
        <v>0</v>
      </c>
      <c r="F790" s="22"/>
      <c r="G790" s="22">
        <v>8.5784900000000004</v>
      </c>
      <c r="H790" s="22"/>
      <c r="I790" s="22">
        <f t="shared" si="37"/>
        <v>8.5784900000000004</v>
      </c>
      <c r="J790" s="22">
        <f t="shared" si="38"/>
        <v>8.5784900000000004</v>
      </c>
      <c r="K790" s="22"/>
    </row>
    <row r="791" spans="1:11" x14ac:dyDescent="0.2">
      <c r="A791" s="15">
        <v>785</v>
      </c>
      <c r="B791" s="20">
        <v>290110</v>
      </c>
      <c r="C791" s="21" t="s">
        <v>386</v>
      </c>
      <c r="D791" s="22"/>
      <c r="E791" s="22">
        <f t="shared" si="36"/>
        <v>0</v>
      </c>
      <c r="F791" s="22"/>
      <c r="G791" s="22">
        <v>0</v>
      </c>
      <c r="H791" s="22"/>
      <c r="I791" s="22">
        <f t="shared" si="37"/>
        <v>0</v>
      </c>
      <c r="J791" s="22">
        <f t="shared" si="38"/>
        <v>0</v>
      </c>
      <c r="K791" s="22"/>
    </row>
    <row r="792" spans="1:11" x14ac:dyDescent="0.2">
      <c r="A792" s="15">
        <v>786</v>
      </c>
      <c r="B792" s="20">
        <v>290115</v>
      </c>
      <c r="C792" s="21" t="s">
        <v>387</v>
      </c>
      <c r="D792" s="22">
        <v>0</v>
      </c>
      <c r="E792" s="22">
        <f t="shared" si="36"/>
        <v>0</v>
      </c>
      <c r="F792" s="22">
        <v>0</v>
      </c>
      <c r="G792" s="22">
        <v>0</v>
      </c>
      <c r="H792" s="22">
        <v>0</v>
      </c>
      <c r="I792" s="22">
        <f t="shared" si="37"/>
        <v>0</v>
      </c>
      <c r="J792" s="22">
        <f t="shared" si="38"/>
        <v>0</v>
      </c>
      <c r="K792" s="22"/>
    </row>
    <row r="793" spans="1:11" x14ac:dyDescent="0.2">
      <c r="A793" s="15">
        <v>787</v>
      </c>
      <c r="B793" s="20">
        <v>290120</v>
      </c>
      <c r="C793" s="21" t="s">
        <v>388</v>
      </c>
      <c r="D793" s="22"/>
      <c r="E793" s="22">
        <f t="shared" si="36"/>
        <v>0</v>
      </c>
      <c r="F793" s="22"/>
      <c r="G793" s="22"/>
      <c r="H793" s="22"/>
      <c r="I793" s="22">
        <f t="shared" si="37"/>
        <v>0</v>
      </c>
      <c r="J793" s="22">
        <f t="shared" si="38"/>
        <v>0</v>
      </c>
      <c r="K793" s="22"/>
    </row>
    <row r="794" spans="1:11" x14ac:dyDescent="0.2">
      <c r="A794" s="15">
        <v>788</v>
      </c>
      <c r="B794" s="20">
        <v>290190</v>
      </c>
      <c r="C794" s="21" t="s">
        <v>58</v>
      </c>
      <c r="D794" s="22">
        <v>1546.9684999999999</v>
      </c>
      <c r="E794" s="22">
        <f t="shared" si="36"/>
        <v>1546.9684999999999</v>
      </c>
      <c r="F794" s="22">
        <v>747.18372999999997</v>
      </c>
      <c r="G794" s="22">
        <v>120.14660000000001</v>
      </c>
      <c r="H794" s="22">
        <v>0</v>
      </c>
      <c r="I794" s="22">
        <f t="shared" si="37"/>
        <v>867.33033</v>
      </c>
      <c r="J794" s="22">
        <f t="shared" si="38"/>
        <v>2414.2988299999997</v>
      </c>
      <c r="K794" s="22"/>
    </row>
    <row r="795" spans="1:11" x14ac:dyDescent="0.2">
      <c r="A795" s="15">
        <v>789</v>
      </c>
      <c r="B795" s="20">
        <v>2902</v>
      </c>
      <c r="C795" s="21" t="s">
        <v>389</v>
      </c>
      <c r="D795" s="22">
        <v>99.268129999999999</v>
      </c>
      <c r="E795" s="22">
        <f t="shared" si="36"/>
        <v>99.268129999999999</v>
      </c>
      <c r="F795" s="22">
        <v>0</v>
      </c>
      <c r="G795" s="22">
        <v>0</v>
      </c>
      <c r="H795" s="22">
        <v>454.05025999999998</v>
      </c>
      <c r="I795" s="22">
        <f t="shared" si="37"/>
        <v>454.05025999999998</v>
      </c>
      <c r="J795" s="22">
        <f t="shared" si="38"/>
        <v>553.31839000000002</v>
      </c>
      <c r="K795" s="22"/>
    </row>
    <row r="796" spans="1:11" x14ac:dyDescent="0.2">
      <c r="A796" s="15">
        <v>790</v>
      </c>
      <c r="B796" s="20">
        <v>2903</v>
      </c>
      <c r="C796" s="21" t="s">
        <v>390</v>
      </c>
      <c r="D796" s="22">
        <v>11379.2</v>
      </c>
      <c r="E796" s="22">
        <f t="shared" si="36"/>
        <v>11379.2</v>
      </c>
      <c r="F796" s="22">
        <v>362387.02649999998</v>
      </c>
      <c r="G796" s="22">
        <v>34813.338810000001</v>
      </c>
      <c r="H796" s="22">
        <v>470.88693999999998</v>
      </c>
      <c r="I796" s="22">
        <f t="shared" si="37"/>
        <v>397671.25224999996</v>
      </c>
      <c r="J796" s="22">
        <f t="shared" si="38"/>
        <v>409050.45224999997</v>
      </c>
      <c r="K796" s="22">
        <v>32574.834210000001</v>
      </c>
    </row>
    <row r="797" spans="1:11" x14ac:dyDescent="0.2">
      <c r="A797" s="15">
        <v>791</v>
      </c>
      <c r="B797" s="20">
        <v>2904</v>
      </c>
      <c r="C797" s="21" t="s">
        <v>331</v>
      </c>
      <c r="D797" s="22">
        <v>2.8799000000000001</v>
      </c>
      <c r="E797" s="22">
        <f t="shared" si="36"/>
        <v>2.8799000000000001</v>
      </c>
      <c r="F797" s="22">
        <v>26.36326</v>
      </c>
      <c r="G797" s="22">
        <v>120.22684</v>
      </c>
      <c r="H797" s="22">
        <v>0</v>
      </c>
      <c r="I797" s="22">
        <f t="shared" si="37"/>
        <v>146.59010000000001</v>
      </c>
      <c r="J797" s="22">
        <f t="shared" si="38"/>
        <v>149.47</v>
      </c>
      <c r="K797" s="22">
        <v>0</v>
      </c>
    </row>
    <row r="798" spans="1:11" x14ac:dyDescent="0.2">
      <c r="A798" s="15">
        <v>792</v>
      </c>
      <c r="B798" s="20">
        <v>2905</v>
      </c>
      <c r="C798" s="21" t="s">
        <v>391</v>
      </c>
      <c r="D798" s="22">
        <v>0</v>
      </c>
      <c r="E798" s="22">
        <f t="shared" si="36"/>
        <v>0</v>
      </c>
      <c r="F798" s="22"/>
      <c r="G798" s="22"/>
      <c r="H798" s="22"/>
      <c r="I798" s="22">
        <f t="shared" si="37"/>
        <v>0</v>
      </c>
      <c r="J798" s="22">
        <f t="shared" si="38"/>
        <v>0</v>
      </c>
      <c r="K798" s="22"/>
    </row>
    <row r="799" spans="1:11" x14ac:dyDescent="0.2">
      <c r="A799" s="15">
        <v>793</v>
      </c>
      <c r="B799" s="20">
        <v>2908</v>
      </c>
      <c r="C799" s="21" t="s">
        <v>278</v>
      </c>
      <c r="D799" s="22">
        <v>0</v>
      </c>
      <c r="E799" s="22">
        <f t="shared" si="36"/>
        <v>0</v>
      </c>
      <c r="F799" s="22">
        <v>0</v>
      </c>
      <c r="G799" s="22">
        <v>1004.5217699999999</v>
      </c>
      <c r="H799" s="22">
        <v>0</v>
      </c>
      <c r="I799" s="22">
        <f t="shared" si="37"/>
        <v>1004.5217699999999</v>
      </c>
      <c r="J799" s="22">
        <f t="shared" si="38"/>
        <v>1004.5217699999999</v>
      </c>
      <c r="K799" s="22">
        <v>0</v>
      </c>
    </row>
    <row r="800" spans="1:11" x14ac:dyDescent="0.2">
      <c r="A800" s="15">
        <v>794</v>
      </c>
      <c r="B800" s="20">
        <v>2910</v>
      </c>
      <c r="C800" s="21" t="s">
        <v>392</v>
      </c>
      <c r="D800" s="22">
        <v>0</v>
      </c>
      <c r="E800" s="22">
        <f t="shared" si="36"/>
        <v>0</v>
      </c>
      <c r="F800" s="22">
        <v>0</v>
      </c>
      <c r="G800" s="22">
        <v>0</v>
      </c>
      <c r="H800" s="22">
        <v>0</v>
      </c>
      <c r="I800" s="22">
        <f t="shared" si="37"/>
        <v>0</v>
      </c>
      <c r="J800" s="22">
        <f t="shared" si="38"/>
        <v>0</v>
      </c>
      <c r="K800" s="22">
        <v>0</v>
      </c>
    </row>
    <row r="801" spans="1:11" x14ac:dyDescent="0.2">
      <c r="A801" s="15">
        <v>795</v>
      </c>
      <c r="B801" s="20">
        <v>2990</v>
      </c>
      <c r="C801" s="21" t="s">
        <v>58</v>
      </c>
      <c r="D801" s="22">
        <v>696.84362999999996</v>
      </c>
      <c r="E801" s="22">
        <f t="shared" si="36"/>
        <v>696.84362999999996</v>
      </c>
      <c r="F801" s="22">
        <v>500.21476000000001</v>
      </c>
      <c r="G801" s="22">
        <v>11313.078289999999</v>
      </c>
      <c r="H801" s="22">
        <v>1061.7614000000001</v>
      </c>
      <c r="I801" s="22">
        <f t="shared" si="37"/>
        <v>12875.05445</v>
      </c>
      <c r="J801" s="22">
        <f t="shared" si="38"/>
        <v>13571.898079999999</v>
      </c>
      <c r="K801" s="22">
        <v>3058.47784</v>
      </c>
    </row>
    <row r="802" spans="1:11" x14ac:dyDescent="0.2">
      <c r="A802" s="15">
        <v>796</v>
      </c>
      <c r="B802" s="20">
        <v>299005</v>
      </c>
      <c r="C802" s="21" t="s">
        <v>393</v>
      </c>
      <c r="D802" s="22">
        <v>1.8815999999999999</v>
      </c>
      <c r="E802" s="22">
        <f t="shared" si="36"/>
        <v>1.8815999999999999</v>
      </c>
      <c r="F802" s="22">
        <v>0</v>
      </c>
      <c r="G802" s="22">
        <v>283.26335</v>
      </c>
      <c r="H802" s="22">
        <v>8.1110000000000002E-2</v>
      </c>
      <c r="I802" s="22">
        <f t="shared" si="37"/>
        <v>283.34446000000003</v>
      </c>
      <c r="J802" s="22">
        <f t="shared" si="38"/>
        <v>285.22606000000002</v>
      </c>
      <c r="K802" s="22">
        <v>0</v>
      </c>
    </row>
    <row r="803" spans="1:11" x14ac:dyDescent="0.2">
      <c r="A803" s="15">
        <v>797</v>
      </c>
      <c r="B803" s="20">
        <v>299010</v>
      </c>
      <c r="C803" s="21" t="s">
        <v>394</v>
      </c>
      <c r="D803" s="22"/>
      <c r="E803" s="22">
        <f t="shared" si="36"/>
        <v>0</v>
      </c>
      <c r="F803" s="22"/>
      <c r="G803" s="22"/>
      <c r="H803" s="22"/>
      <c r="I803" s="22">
        <f t="shared" si="37"/>
        <v>0</v>
      </c>
      <c r="J803" s="22">
        <f t="shared" si="38"/>
        <v>0</v>
      </c>
      <c r="K803" s="22"/>
    </row>
    <row r="804" spans="1:11" x14ac:dyDescent="0.2">
      <c r="A804" s="15">
        <v>798</v>
      </c>
      <c r="B804" s="20">
        <v>299090</v>
      </c>
      <c r="C804" s="21" t="s">
        <v>395</v>
      </c>
      <c r="D804" s="22">
        <v>694.96203000000003</v>
      </c>
      <c r="E804" s="22">
        <f t="shared" si="36"/>
        <v>694.96203000000003</v>
      </c>
      <c r="F804" s="22">
        <v>500.21476000000001</v>
      </c>
      <c r="G804" s="22">
        <v>11029.81494</v>
      </c>
      <c r="H804" s="22">
        <v>1061.68029</v>
      </c>
      <c r="I804" s="22">
        <f t="shared" si="37"/>
        <v>12591.709990000001</v>
      </c>
      <c r="J804" s="22">
        <f t="shared" si="38"/>
        <v>13286.672020000002</v>
      </c>
      <c r="K804" s="22">
        <v>3058.47784</v>
      </c>
    </row>
    <row r="805" spans="1:11" x14ac:dyDescent="0.2">
      <c r="A805" s="15">
        <v>799</v>
      </c>
      <c r="B805" s="20"/>
      <c r="C805" s="21" t="s">
        <v>396</v>
      </c>
      <c r="D805" s="22">
        <v>183493.60060999999</v>
      </c>
      <c r="E805" s="22">
        <f t="shared" si="36"/>
        <v>183493.60060999999</v>
      </c>
      <c r="F805" s="22">
        <v>929373.24679</v>
      </c>
      <c r="G805" s="22">
        <v>1111302.22538</v>
      </c>
      <c r="H805" s="22">
        <v>1340639.9969899999</v>
      </c>
      <c r="I805" s="22">
        <f t="shared" si="37"/>
        <v>3381315.4691599999</v>
      </c>
      <c r="J805" s="22">
        <f t="shared" si="38"/>
        <v>3564809.0697699999</v>
      </c>
      <c r="K805" s="22">
        <v>40222.585950000001</v>
      </c>
    </row>
    <row r="806" spans="1:11" x14ac:dyDescent="0.2">
      <c r="A806" s="15">
        <v>800</v>
      </c>
      <c r="B806" s="20"/>
      <c r="C806" s="21"/>
      <c r="D806" s="22"/>
      <c r="E806" s="22">
        <f t="shared" si="36"/>
        <v>0</v>
      </c>
      <c r="F806" s="22"/>
      <c r="G806" s="22"/>
      <c r="H806" s="22"/>
      <c r="I806" s="22">
        <f t="shared" si="37"/>
        <v>0</v>
      </c>
      <c r="J806" s="22">
        <f t="shared" si="38"/>
        <v>0</v>
      </c>
      <c r="K806" s="22"/>
    </row>
    <row r="807" spans="1:11" x14ac:dyDescent="0.2">
      <c r="A807" s="15">
        <v>801</v>
      </c>
      <c r="B807" s="20">
        <v>3</v>
      </c>
      <c r="C807" s="21" t="s">
        <v>397</v>
      </c>
      <c r="D807" s="22"/>
      <c r="E807" s="22">
        <f t="shared" si="36"/>
        <v>0</v>
      </c>
      <c r="F807" s="22"/>
      <c r="G807" s="22"/>
      <c r="H807" s="22"/>
      <c r="I807" s="22">
        <f t="shared" si="37"/>
        <v>0</v>
      </c>
      <c r="J807" s="22">
        <f t="shared" si="38"/>
        <v>0</v>
      </c>
      <c r="K807" s="22"/>
    </row>
    <row r="808" spans="1:11" x14ac:dyDescent="0.2">
      <c r="A808" s="15">
        <v>802</v>
      </c>
      <c r="B808" s="20">
        <v>31</v>
      </c>
      <c r="C808" s="21" t="s">
        <v>398</v>
      </c>
      <c r="D808" s="22">
        <v>30000</v>
      </c>
      <c r="E808" s="22">
        <f t="shared" si="36"/>
        <v>30000</v>
      </c>
      <c r="F808" s="22">
        <v>293668.03600000002</v>
      </c>
      <c r="G808" s="22">
        <v>254296.67954000001</v>
      </c>
      <c r="H808" s="22">
        <v>400000</v>
      </c>
      <c r="I808" s="22">
        <f t="shared" si="37"/>
        <v>947964.71554</v>
      </c>
      <c r="J808" s="22">
        <f t="shared" si="38"/>
        <v>977964.71554</v>
      </c>
      <c r="K808" s="22">
        <v>0</v>
      </c>
    </row>
    <row r="809" spans="1:11" x14ac:dyDescent="0.2">
      <c r="A809" s="15">
        <v>803</v>
      </c>
      <c r="B809" s="20">
        <v>3101</v>
      </c>
      <c r="C809" s="21" t="s">
        <v>399</v>
      </c>
      <c r="D809" s="22">
        <v>30000</v>
      </c>
      <c r="E809" s="22">
        <f t="shared" si="36"/>
        <v>30000</v>
      </c>
      <c r="F809" s="22">
        <v>293668.03600000002</v>
      </c>
      <c r="G809" s="22">
        <v>254296.67954000001</v>
      </c>
      <c r="H809" s="22">
        <v>400000</v>
      </c>
      <c r="I809" s="22">
        <f t="shared" si="37"/>
        <v>947964.71554</v>
      </c>
      <c r="J809" s="22">
        <f t="shared" si="38"/>
        <v>977964.71554</v>
      </c>
      <c r="K809" s="22">
        <v>0</v>
      </c>
    </row>
    <row r="810" spans="1:11" x14ac:dyDescent="0.2">
      <c r="A810" s="15">
        <v>804</v>
      </c>
      <c r="B810" s="20">
        <v>3102</v>
      </c>
      <c r="C810" s="21" t="s">
        <v>400</v>
      </c>
      <c r="D810" s="22"/>
      <c r="E810" s="22">
        <f t="shared" si="36"/>
        <v>0</v>
      </c>
      <c r="F810" s="22"/>
      <c r="G810" s="22"/>
      <c r="H810" s="22"/>
      <c r="I810" s="22">
        <f t="shared" si="37"/>
        <v>0</v>
      </c>
      <c r="J810" s="22">
        <f t="shared" si="38"/>
        <v>0</v>
      </c>
      <c r="K810" s="22"/>
    </row>
    <row r="811" spans="1:11" x14ac:dyDescent="0.2">
      <c r="A811" s="15">
        <v>805</v>
      </c>
      <c r="B811" s="20">
        <v>3103</v>
      </c>
      <c r="C811" s="21" t="s">
        <v>401</v>
      </c>
      <c r="D811" s="22"/>
      <c r="E811" s="22">
        <f t="shared" si="36"/>
        <v>0</v>
      </c>
      <c r="F811" s="22"/>
      <c r="G811" s="22"/>
      <c r="H811" s="22"/>
      <c r="I811" s="22">
        <f t="shared" si="37"/>
        <v>0</v>
      </c>
      <c r="J811" s="22">
        <f t="shared" si="38"/>
        <v>0</v>
      </c>
      <c r="K811" s="22"/>
    </row>
    <row r="812" spans="1:11" x14ac:dyDescent="0.2">
      <c r="A812" s="15">
        <v>806</v>
      </c>
      <c r="B812" s="20">
        <v>32</v>
      </c>
      <c r="C812" s="21" t="s">
        <v>402</v>
      </c>
      <c r="D812" s="22"/>
      <c r="E812" s="22">
        <f t="shared" si="36"/>
        <v>0</v>
      </c>
      <c r="F812" s="22"/>
      <c r="G812" s="22"/>
      <c r="H812" s="22"/>
      <c r="I812" s="22">
        <f t="shared" si="37"/>
        <v>0</v>
      </c>
      <c r="J812" s="22">
        <f t="shared" si="38"/>
        <v>0</v>
      </c>
      <c r="K812" s="22"/>
    </row>
    <row r="813" spans="1:11" x14ac:dyDescent="0.2">
      <c r="A813" s="15">
        <v>807</v>
      </c>
      <c r="B813" s="20">
        <v>3201</v>
      </c>
      <c r="C813" s="21" t="s">
        <v>403</v>
      </c>
      <c r="D813" s="22"/>
      <c r="E813" s="22">
        <f t="shared" si="36"/>
        <v>0</v>
      </c>
      <c r="F813" s="22"/>
      <c r="G813" s="22"/>
      <c r="H813" s="22"/>
      <c r="I813" s="22">
        <f t="shared" si="37"/>
        <v>0</v>
      </c>
      <c r="J813" s="22">
        <f t="shared" si="38"/>
        <v>0</v>
      </c>
      <c r="K813" s="22"/>
    </row>
    <row r="814" spans="1:11" x14ac:dyDescent="0.2">
      <c r="A814" s="15">
        <v>808</v>
      </c>
      <c r="B814" s="20">
        <v>3202</v>
      </c>
      <c r="C814" s="21" t="s">
        <v>404</v>
      </c>
      <c r="D814" s="22"/>
      <c r="E814" s="22">
        <f t="shared" si="36"/>
        <v>0</v>
      </c>
      <c r="F814" s="22"/>
      <c r="G814" s="22"/>
      <c r="H814" s="22"/>
      <c r="I814" s="22">
        <f t="shared" si="37"/>
        <v>0</v>
      </c>
      <c r="J814" s="22">
        <f t="shared" si="38"/>
        <v>0</v>
      </c>
      <c r="K814" s="22"/>
    </row>
    <row r="815" spans="1:11" x14ac:dyDescent="0.2">
      <c r="A815" s="15">
        <v>809</v>
      </c>
      <c r="B815" s="20">
        <v>33</v>
      </c>
      <c r="C815" s="21" t="s">
        <v>405</v>
      </c>
      <c r="D815" s="22">
        <v>22270.871790000001</v>
      </c>
      <c r="E815" s="22">
        <f t="shared" si="36"/>
        <v>22270.871790000001</v>
      </c>
      <c r="F815" s="22">
        <v>76500.898180000004</v>
      </c>
      <c r="G815" s="22">
        <v>0.23916000000000001</v>
      </c>
      <c r="H815" s="22">
        <v>48094.591890000003</v>
      </c>
      <c r="I815" s="22">
        <f t="shared" si="37"/>
        <v>124595.72923</v>
      </c>
      <c r="J815" s="22">
        <f t="shared" si="38"/>
        <v>146866.60102</v>
      </c>
      <c r="K815" s="22">
        <v>362.79309000000001</v>
      </c>
    </row>
    <row r="816" spans="1:11" x14ac:dyDescent="0.2">
      <c r="A816" s="15">
        <v>810</v>
      </c>
      <c r="B816" s="20">
        <v>3301</v>
      </c>
      <c r="C816" s="21" t="s">
        <v>406</v>
      </c>
      <c r="D816" s="22">
        <v>2474.2426099999998</v>
      </c>
      <c r="E816" s="22">
        <f t="shared" si="36"/>
        <v>2474.2426099999998</v>
      </c>
      <c r="F816" s="22">
        <v>28028.573479999999</v>
      </c>
      <c r="G816" s="22">
        <v>0</v>
      </c>
      <c r="H816" s="22"/>
      <c r="I816" s="22">
        <f t="shared" si="37"/>
        <v>28028.573479999999</v>
      </c>
      <c r="J816" s="22">
        <f t="shared" si="38"/>
        <v>30502.81609</v>
      </c>
      <c r="K816" s="22"/>
    </row>
    <row r="817" spans="1:11" x14ac:dyDescent="0.2">
      <c r="A817" s="15">
        <v>811</v>
      </c>
      <c r="B817" s="20">
        <v>3302</v>
      </c>
      <c r="C817" s="21" t="s">
        <v>407</v>
      </c>
      <c r="D817" s="22"/>
      <c r="E817" s="22">
        <f t="shared" si="36"/>
        <v>0</v>
      </c>
      <c r="F817" s="22"/>
      <c r="G817" s="22"/>
      <c r="H817" s="22">
        <v>48094.591890000003</v>
      </c>
      <c r="I817" s="22">
        <f t="shared" si="37"/>
        <v>48094.591890000003</v>
      </c>
      <c r="J817" s="22">
        <f t="shared" si="38"/>
        <v>48094.591890000003</v>
      </c>
      <c r="K817" s="22"/>
    </row>
    <row r="818" spans="1:11" x14ac:dyDescent="0.2">
      <c r="A818" s="15">
        <v>812</v>
      </c>
      <c r="B818" s="20">
        <v>3303</v>
      </c>
      <c r="C818" s="21" t="s">
        <v>408</v>
      </c>
      <c r="D818" s="22">
        <v>5019.0778600000003</v>
      </c>
      <c r="E818" s="22">
        <f t="shared" si="36"/>
        <v>5019.0778600000003</v>
      </c>
      <c r="F818" s="22">
        <v>23288.06007</v>
      </c>
      <c r="G818" s="22">
        <v>0.23916000000000001</v>
      </c>
      <c r="H818" s="22">
        <v>0</v>
      </c>
      <c r="I818" s="22">
        <f t="shared" si="37"/>
        <v>23288.299230000001</v>
      </c>
      <c r="J818" s="22">
        <f t="shared" si="38"/>
        <v>28307.377090000002</v>
      </c>
      <c r="K818" s="22"/>
    </row>
    <row r="819" spans="1:11" x14ac:dyDescent="0.2">
      <c r="A819" s="15">
        <v>813</v>
      </c>
      <c r="B819" s="20">
        <v>330305</v>
      </c>
      <c r="C819" s="21" t="s">
        <v>409</v>
      </c>
      <c r="D819" s="22">
        <v>0</v>
      </c>
      <c r="E819" s="22">
        <f t="shared" si="36"/>
        <v>0</v>
      </c>
      <c r="F819" s="22">
        <v>17207.94255</v>
      </c>
      <c r="G819" s="22">
        <v>0</v>
      </c>
      <c r="H819" s="22">
        <v>0</v>
      </c>
      <c r="I819" s="22">
        <f t="shared" si="37"/>
        <v>17207.94255</v>
      </c>
      <c r="J819" s="22">
        <f t="shared" si="38"/>
        <v>17207.94255</v>
      </c>
      <c r="K819" s="22"/>
    </row>
    <row r="820" spans="1:11" x14ac:dyDescent="0.2">
      <c r="A820" s="15">
        <v>814</v>
      </c>
      <c r="B820" s="20">
        <v>330310</v>
      </c>
      <c r="C820" s="21" t="s">
        <v>410</v>
      </c>
      <c r="D820" s="22">
        <v>31.387029999999999</v>
      </c>
      <c r="E820" s="22">
        <f t="shared" si="36"/>
        <v>31.387029999999999</v>
      </c>
      <c r="F820" s="22">
        <v>0</v>
      </c>
      <c r="G820" s="22">
        <v>0</v>
      </c>
      <c r="H820" s="22">
        <v>0</v>
      </c>
      <c r="I820" s="22">
        <f t="shared" si="37"/>
        <v>0</v>
      </c>
      <c r="J820" s="22">
        <f t="shared" si="38"/>
        <v>31.387029999999999</v>
      </c>
      <c r="K820" s="22"/>
    </row>
    <row r="821" spans="1:11" x14ac:dyDescent="0.2">
      <c r="A821" s="15">
        <v>815</v>
      </c>
      <c r="B821" s="20">
        <v>330390</v>
      </c>
      <c r="C821" s="21" t="s">
        <v>157</v>
      </c>
      <c r="D821" s="22">
        <v>4987.6908299999996</v>
      </c>
      <c r="E821" s="22">
        <f t="shared" si="36"/>
        <v>4987.6908299999996</v>
      </c>
      <c r="F821" s="22">
        <v>6080.1175199999998</v>
      </c>
      <c r="G821" s="22">
        <v>0.23916000000000001</v>
      </c>
      <c r="H821" s="22">
        <v>0</v>
      </c>
      <c r="I821" s="22">
        <f t="shared" si="37"/>
        <v>6080.3566799999999</v>
      </c>
      <c r="J821" s="22">
        <f t="shared" si="38"/>
        <v>11068.04751</v>
      </c>
      <c r="K821" s="22"/>
    </row>
    <row r="822" spans="1:11" x14ac:dyDescent="0.2">
      <c r="A822" s="15">
        <v>816</v>
      </c>
      <c r="B822" s="20">
        <v>3304</v>
      </c>
      <c r="C822" s="21" t="s">
        <v>411</v>
      </c>
      <c r="D822" s="22"/>
      <c r="E822" s="22">
        <f t="shared" si="36"/>
        <v>0</v>
      </c>
      <c r="F822" s="22"/>
      <c r="G822" s="22"/>
      <c r="H822" s="22"/>
      <c r="I822" s="22">
        <f t="shared" si="37"/>
        <v>0</v>
      </c>
      <c r="J822" s="22">
        <f t="shared" si="38"/>
        <v>0</v>
      </c>
      <c r="K822" s="22"/>
    </row>
    <row r="823" spans="1:11" x14ac:dyDescent="0.2">
      <c r="A823" s="15">
        <v>817</v>
      </c>
      <c r="B823" s="20">
        <v>3305</v>
      </c>
      <c r="C823" s="21" t="s">
        <v>412</v>
      </c>
      <c r="D823" s="22">
        <v>14777.55132</v>
      </c>
      <c r="E823" s="22">
        <f t="shared" si="36"/>
        <v>14777.55132</v>
      </c>
      <c r="F823" s="22">
        <v>25184.264630000001</v>
      </c>
      <c r="G823" s="22">
        <v>0</v>
      </c>
      <c r="H823" s="22">
        <v>0</v>
      </c>
      <c r="I823" s="22">
        <f t="shared" si="37"/>
        <v>25184.264630000001</v>
      </c>
      <c r="J823" s="22">
        <f t="shared" si="38"/>
        <v>39961.815950000004</v>
      </c>
      <c r="K823" s="22">
        <v>362.79309000000001</v>
      </c>
    </row>
    <row r="824" spans="1:11" x14ac:dyDescent="0.2">
      <c r="A824" s="15">
        <v>818</v>
      </c>
      <c r="B824" s="20">
        <v>3310</v>
      </c>
      <c r="C824" s="21" t="s">
        <v>413</v>
      </c>
      <c r="D824" s="22">
        <v>0</v>
      </c>
      <c r="E824" s="22">
        <f t="shared" si="36"/>
        <v>0</v>
      </c>
      <c r="F824" s="22">
        <v>0</v>
      </c>
      <c r="G824" s="22">
        <v>0</v>
      </c>
      <c r="H824" s="22">
        <v>0</v>
      </c>
      <c r="I824" s="22">
        <f t="shared" si="37"/>
        <v>0</v>
      </c>
      <c r="J824" s="22">
        <f t="shared" si="38"/>
        <v>0</v>
      </c>
      <c r="K824" s="22">
        <v>0</v>
      </c>
    </row>
    <row r="825" spans="1:11" x14ac:dyDescent="0.2">
      <c r="A825" s="15">
        <v>819</v>
      </c>
      <c r="B825" s="20">
        <v>34</v>
      </c>
      <c r="C825" s="21" t="s">
        <v>414</v>
      </c>
      <c r="D825" s="22">
        <v>15000</v>
      </c>
      <c r="E825" s="22">
        <f t="shared" si="36"/>
        <v>15000</v>
      </c>
      <c r="F825" s="22">
        <v>29477.971010000001</v>
      </c>
      <c r="G825" s="22">
        <v>234146.45366</v>
      </c>
      <c r="H825" s="22">
        <v>362922.44185</v>
      </c>
      <c r="I825" s="22">
        <f t="shared" si="37"/>
        <v>626546.86651999992</v>
      </c>
      <c r="J825" s="22">
        <f t="shared" si="38"/>
        <v>641546.86651999992</v>
      </c>
      <c r="K825" s="22">
        <v>357702.15230000002</v>
      </c>
    </row>
    <row r="826" spans="1:11" x14ac:dyDescent="0.2">
      <c r="A826" s="15">
        <v>820</v>
      </c>
      <c r="B826" s="20">
        <v>3401</v>
      </c>
      <c r="C826" s="21" t="s">
        <v>415</v>
      </c>
      <c r="D826" s="22">
        <v>15000</v>
      </c>
      <c r="E826" s="22">
        <f t="shared" si="36"/>
        <v>15000</v>
      </c>
      <c r="F826" s="22">
        <v>29474.451010000001</v>
      </c>
      <c r="G826" s="22">
        <v>233848.32871999999</v>
      </c>
      <c r="H826" s="22">
        <v>336875.03045000002</v>
      </c>
      <c r="I826" s="22">
        <f t="shared" si="37"/>
        <v>600197.81018000003</v>
      </c>
      <c r="J826" s="22">
        <f t="shared" si="38"/>
        <v>615197.81018000003</v>
      </c>
      <c r="K826" s="22">
        <v>357711.62073000002</v>
      </c>
    </row>
    <row r="827" spans="1:11" x14ac:dyDescent="0.2">
      <c r="A827" s="15">
        <v>821</v>
      </c>
      <c r="B827" s="20">
        <v>3402</v>
      </c>
      <c r="C827" s="21" t="s">
        <v>416</v>
      </c>
      <c r="D827" s="22">
        <v>0</v>
      </c>
      <c r="E827" s="22">
        <f t="shared" si="36"/>
        <v>0</v>
      </c>
      <c r="F827" s="22">
        <v>3.52</v>
      </c>
      <c r="G827" s="22">
        <v>298.12493999999998</v>
      </c>
      <c r="H827" s="22">
        <v>26047.411400000001</v>
      </c>
      <c r="I827" s="22">
        <f t="shared" si="37"/>
        <v>26349.056339999999</v>
      </c>
      <c r="J827" s="22">
        <f t="shared" si="38"/>
        <v>26349.056339999999</v>
      </c>
      <c r="K827" s="22">
        <v>-9.4684299999999997</v>
      </c>
    </row>
    <row r="828" spans="1:11" x14ac:dyDescent="0.2">
      <c r="A828" s="15">
        <v>822</v>
      </c>
      <c r="B828" s="20">
        <v>340205</v>
      </c>
      <c r="C828" s="21" t="s">
        <v>417</v>
      </c>
      <c r="D828" s="22">
        <v>0</v>
      </c>
      <c r="E828" s="22">
        <f t="shared" si="36"/>
        <v>0</v>
      </c>
      <c r="F828" s="22">
        <v>0</v>
      </c>
      <c r="G828" s="22">
        <v>55</v>
      </c>
      <c r="H828" s="22">
        <v>687.32743000000005</v>
      </c>
      <c r="I828" s="22">
        <f t="shared" si="37"/>
        <v>742.32743000000005</v>
      </c>
      <c r="J828" s="22">
        <f t="shared" si="38"/>
        <v>742.32743000000005</v>
      </c>
      <c r="K828" s="22">
        <v>-9.4684299999999997</v>
      </c>
    </row>
    <row r="829" spans="1:11" x14ac:dyDescent="0.2">
      <c r="A829" s="15">
        <v>823</v>
      </c>
      <c r="B829" s="20">
        <v>340210</v>
      </c>
      <c r="C829" s="21" t="s">
        <v>418</v>
      </c>
      <c r="D829" s="22">
        <v>0</v>
      </c>
      <c r="E829" s="22">
        <f t="shared" si="36"/>
        <v>0</v>
      </c>
      <c r="F829" s="22">
        <v>3.52</v>
      </c>
      <c r="G829" s="22">
        <v>243.12494000000001</v>
      </c>
      <c r="H829" s="22">
        <v>25360.08397</v>
      </c>
      <c r="I829" s="22">
        <f t="shared" si="37"/>
        <v>25606.728909999998</v>
      </c>
      <c r="J829" s="22">
        <f t="shared" si="38"/>
        <v>25606.728909999998</v>
      </c>
      <c r="K829" s="22">
        <v>0</v>
      </c>
    </row>
    <row r="830" spans="1:11" x14ac:dyDescent="0.2">
      <c r="A830" s="15">
        <v>824</v>
      </c>
      <c r="B830" s="20">
        <v>3490</v>
      </c>
      <c r="C830" s="21" t="s">
        <v>58</v>
      </c>
      <c r="D830" s="22">
        <v>0</v>
      </c>
      <c r="E830" s="22">
        <f t="shared" si="36"/>
        <v>0</v>
      </c>
      <c r="F830" s="22">
        <v>0</v>
      </c>
      <c r="G830" s="22">
        <v>0</v>
      </c>
      <c r="H830" s="22">
        <v>0</v>
      </c>
      <c r="I830" s="22">
        <f t="shared" si="37"/>
        <v>0</v>
      </c>
      <c r="J830" s="22">
        <f t="shared" si="38"/>
        <v>0</v>
      </c>
      <c r="K830" s="22">
        <v>0</v>
      </c>
    </row>
    <row r="831" spans="1:11" x14ac:dyDescent="0.2">
      <c r="A831" s="15">
        <v>825</v>
      </c>
      <c r="B831" s="20">
        <v>35</v>
      </c>
      <c r="C831" s="21" t="s">
        <v>419</v>
      </c>
      <c r="D831" s="22">
        <v>4054.6382600000002</v>
      </c>
      <c r="E831" s="22">
        <f t="shared" si="36"/>
        <v>4054.6382600000002</v>
      </c>
      <c r="F831" s="22">
        <v>12025.44083</v>
      </c>
      <c r="G831" s="22">
        <v>16819.011689999999</v>
      </c>
      <c r="H831" s="22">
        <v>8880.0333699999992</v>
      </c>
      <c r="I831" s="22">
        <f t="shared" si="37"/>
        <v>37724.485889999996</v>
      </c>
      <c r="J831" s="22">
        <f t="shared" si="38"/>
        <v>41779.124149999996</v>
      </c>
      <c r="K831" s="22">
        <v>338.56409000000002</v>
      </c>
    </row>
    <row r="832" spans="1:11" x14ac:dyDescent="0.2">
      <c r="A832" s="15">
        <v>826</v>
      </c>
      <c r="B832" s="20">
        <v>3501</v>
      </c>
      <c r="C832" s="21" t="s">
        <v>420</v>
      </c>
      <c r="D832" s="22">
        <v>4136.7621799999997</v>
      </c>
      <c r="E832" s="22">
        <f t="shared" si="36"/>
        <v>4136.7621799999997</v>
      </c>
      <c r="F832" s="22">
        <v>10323.61915</v>
      </c>
      <c r="G832" s="22">
        <v>15633.410400000001</v>
      </c>
      <c r="H832" s="22">
        <v>6285.0429999999997</v>
      </c>
      <c r="I832" s="22">
        <f t="shared" si="37"/>
        <v>32242.072549999997</v>
      </c>
      <c r="J832" s="22">
        <f t="shared" si="38"/>
        <v>36378.834729999995</v>
      </c>
      <c r="K832" s="22">
        <v>338.56409000000002</v>
      </c>
    </row>
    <row r="833" spans="1:11" x14ac:dyDescent="0.2">
      <c r="A833" s="15">
        <v>827</v>
      </c>
      <c r="B833" s="20">
        <v>3502</v>
      </c>
      <c r="C833" s="21" t="s">
        <v>421</v>
      </c>
      <c r="D833" s="22">
        <v>0</v>
      </c>
      <c r="E833" s="22">
        <f t="shared" si="36"/>
        <v>0</v>
      </c>
      <c r="F833" s="22">
        <v>0</v>
      </c>
      <c r="G833" s="22">
        <v>615.84010000000001</v>
      </c>
      <c r="H833" s="22">
        <v>0</v>
      </c>
      <c r="I833" s="22">
        <f t="shared" si="37"/>
        <v>615.84010000000001</v>
      </c>
      <c r="J833" s="22">
        <f t="shared" si="38"/>
        <v>615.84010000000001</v>
      </c>
      <c r="K833" s="22"/>
    </row>
    <row r="834" spans="1:11" x14ac:dyDescent="0.2">
      <c r="A834" s="15">
        <v>828</v>
      </c>
      <c r="B834" s="20">
        <v>36</v>
      </c>
      <c r="C834" s="21" t="s">
        <v>422</v>
      </c>
      <c r="D834" s="22">
        <v>10729.207420000001</v>
      </c>
      <c r="E834" s="22">
        <f t="shared" si="36"/>
        <v>10729.207420000001</v>
      </c>
      <c r="F834" s="22">
        <v>0</v>
      </c>
      <c r="G834" s="22">
        <v>-91015.983800000002</v>
      </c>
      <c r="H834" s="22">
        <v>0</v>
      </c>
      <c r="I834" s="22">
        <f t="shared" si="37"/>
        <v>-91015.983800000002</v>
      </c>
      <c r="J834" s="22">
        <f t="shared" si="38"/>
        <v>-80286.776379999996</v>
      </c>
      <c r="K834" s="22">
        <v>5236.0186400000002</v>
      </c>
    </row>
    <row r="835" spans="1:11" x14ac:dyDescent="0.2">
      <c r="A835" s="15">
        <v>829</v>
      </c>
      <c r="B835" s="20">
        <v>3601</v>
      </c>
      <c r="C835" s="21" t="s">
        <v>423</v>
      </c>
      <c r="D835" s="22">
        <v>10729.207420000001</v>
      </c>
      <c r="E835" s="22">
        <f t="shared" si="36"/>
        <v>10729.207420000001</v>
      </c>
      <c r="F835" s="22">
        <v>0</v>
      </c>
      <c r="G835" s="22">
        <v>20752.253649999999</v>
      </c>
      <c r="H835" s="22">
        <v>0</v>
      </c>
      <c r="I835" s="22">
        <f t="shared" si="37"/>
        <v>20752.253649999999</v>
      </c>
      <c r="J835" s="22">
        <f t="shared" si="38"/>
        <v>31481.461069999998</v>
      </c>
      <c r="K835" s="22">
        <v>8544.5668999999998</v>
      </c>
    </row>
    <row r="836" spans="1:11" x14ac:dyDescent="0.2">
      <c r="A836" s="15">
        <v>830</v>
      </c>
      <c r="B836" s="20">
        <v>3602</v>
      </c>
      <c r="C836" s="21" t="s">
        <v>424</v>
      </c>
      <c r="D836" s="22">
        <v>0</v>
      </c>
      <c r="E836" s="22">
        <f t="shared" si="36"/>
        <v>0</v>
      </c>
      <c r="F836" s="22">
        <v>0</v>
      </c>
      <c r="G836" s="22">
        <v>-111768.23745</v>
      </c>
      <c r="H836" s="22">
        <v>0</v>
      </c>
      <c r="I836" s="22">
        <f t="shared" si="37"/>
        <v>-111768.23745</v>
      </c>
      <c r="J836" s="22">
        <f t="shared" si="38"/>
        <v>-111768.23745</v>
      </c>
      <c r="K836" s="22">
        <v>-3308.54826</v>
      </c>
    </row>
    <row r="837" spans="1:11" x14ac:dyDescent="0.2">
      <c r="A837" s="15">
        <v>831</v>
      </c>
      <c r="B837" s="20">
        <v>3603</v>
      </c>
      <c r="C837" s="21" t="s">
        <v>425</v>
      </c>
      <c r="D837" s="22">
        <v>0</v>
      </c>
      <c r="E837" s="22">
        <f t="shared" si="36"/>
        <v>0</v>
      </c>
      <c r="F837" s="22">
        <v>0</v>
      </c>
      <c r="G837" s="22">
        <v>0</v>
      </c>
      <c r="H837" s="22">
        <v>0</v>
      </c>
      <c r="I837" s="22">
        <f t="shared" si="37"/>
        <v>0</v>
      </c>
      <c r="J837" s="22">
        <f t="shared" si="38"/>
        <v>0</v>
      </c>
      <c r="K837" s="22">
        <v>0</v>
      </c>
    </row>
    <row r="838" spans="1:11" x14ac:dyDescent="0.2">
      <c r="A838" s="15">
        <v>832</v>
      </c>
      <c r="B838" s="20">
        <v>3604</v>
      </c>
      <c r="C838" s="21" t="s">
        <v>426</v>
      </c>
      <c r="D838" s="22">
        <v>0</v>
      </c>
      <c r="E838" s="22">
        <f t="shared" si="36"/>
        <v>0</v>
      </c>
      <c r="F838" s="22">
        <v>0</v>
      </c>
      <c r="G838" s="22">
        <v>0</v>
      </c>
      <c r="H838" s="22">
        <v>0</v>
      </c>
      <c r="I838" s="22">
        <f t="shared" si="37"/>
        <v>0</v>
      </c>
      <c r="J838" s="22">
        <f t="shared" si="38"/>
        <v>0</v>
      </c>
      <c r="K838" s="22">
        <v>0</v>
      </c>
    </row>
    <row r="839" spans="1:11" x14ac:dyDescent="0.2">
      <c r="A839" s="15">
        <v>833</v>
      </c>
      <c r="B839" s="20"/>
      <c r="C839" s="21" t="s">
        <v>427</v>
      </c>
      <c r="D839" s="22">
        <v>82054.717470000003</v>
      </c>
      <c r="E839" s="22">
        <f t="shared" si="36"/>
        <v>82054.717470000003</v>
      </c>
      <c r="F839" s="22">
        <v>411672.34602</v>
      </c>
      <c r="G839" s="22">
        <v>414246.40025000001</v>
      </c>
      <c r="H839" s="22">
        <v>819897.06710999995</v>
      </c>
      <c r="I839" s="22">
        <f t="shared" si="37"/>
        <v>1645815.8133799999</v>
      </c>
      <c r="J839" s="22">
        <f t="shared" si="38"/>
        <v>1727870.53085</v>
      </c>
      <c r="K839" s="22">
        <v>363639.52811999997</v>
      </c>
    </row>
    <row r="840" spans="1:11" x14ac:dyDescent="0.2">
      <c r="A840" s="15">
        <v>834</v>
      </c>
      <c r="B840" s="20"/>
      <c r="C840" s="21"/>
      <c r="D840" s="22"/>
      <c r="E840" s="22">
        <f t="shared" si="36"/>
        <v>0</v>
      </c>
      <c r="F840" s="22"/>
      <c r="G840" s="22"/>
      <c r="H840" s="22"/>
      <c r="I840" s="22">
        <f t="shared" si="37"/>
        <v>0</v>
      </c>
      <c r="J840" s="22">
        <f t="shared" si="38"/>
        <v>0</v>
      </c>
      <c r="K840" s="22"/>
    </row>
    <row r="841" spans="1:11" x14ac:dyDescent="0.2">
      <c r="A841" s="15">
        <v>835</v>
      </c>
      <c r="B841" s="20"/>
      <c r="C841" s="21" t="s">
        <v>428</v>
      </c>
      <c r="D841" s="22">
        <v>265548.31808</v>
      </c>
      <c r="E841" s="22">
        <f t="shared" si="36"/>
        <v>265548.31808</v>
      </c>
      <c r="F841" s="22">
        <v>1341045.5928100001</v>
      </c>
      <c r="G841" s="22">
        <v>1525548.6256299999</v>
      </c>
      <c r="H841" s="22">
        <v>2160537.0641000001</v>
      </c>
      <c r="I841" s="22">
        <f t="shared" si="37"/>
        <v>5027131.28254</v>
      </c>
      <c r="J841" s="22">
        <f t="shared" si="38"/>
        <v>5292679.6006199997</v>
      </c>
      <c r="K841" s="22">
        <v>403862.11407000001</v>
      </c>
    </row>
    <row r="842" spans="1:11" x14ac:dyDescent="0.2">
      <c r="A842" s="15">
        <v>836</v>
      </c>
      <c r="B842" s="20"/>
      <c r="C842" s="21"/>
      <c r="D842" s="22"/>
      <c r="E842" s="22">
        <f t="shared" ref="E842:E905" si="39">+D842</f>
        <v>0</v>
      </c>
      <c r="F842" s="22"/>
      <c r="G842" s="22"/>
      <c r="H842" s="22"/>
      <c r="I842" s="22">
        <f t="shared" ref="I842:I905" si="40">+SUM(F842:H842)</f>
        <v>0</v>
      </c>
      <c r="J842" s="22">
        <f t="shared" ref="J842:J905" si="41">+E842+I842</f>
        <v>0</v>
      </c>
      <c r="K842" s="22"/>
    </row>
    <row r="843" spans="1:11" x14ac:dyDescent="0.2">
      <c r="A843" s="15">
        <v>837</v>
      </c>
      <c r="B843" s="20">
        <v>5</v>
      </c>
      <c r="C843" s="21" t="s">
        <v>429</v>
      </c>
      <c r="D843" s="22">
        <v>17362.654569999999</v>
      </c>
      <c r="E843" s="22">
        <f t="shared" si="39"/>
        <v>17362.654569999999</v>
      </c>
      <c r="F843" s="22">
        <v>58698.101289999999</v>
      </c>
      <c r="G843" s="22">
        <v>94049.363310000001</v>
      </c>
      <c r="H843" s="22">
        <v>168188.19795999999</v>
      </c>
      <c r="I843" s="22">
        <f t="shared" si="40"/>
        <v>320935.66255999997</v>
      </c>
      <c r="J843" s="22">
        <f t="shared" si="41"/>
        <v>338298.31712999998</v>
      </c>
      <c r="K843" s="22">
        <v>13234.160910000001</v>
      </c>
    </row>
    <row r="844" spans="1:11" x14ac:dyDescent="0.2">
      <c r="A844" s="15">
        <v>838</v>
      </c>
      <c r="B844" s="20"/>
      <c r="C844" s="21"/>
      <c r="D844" s="22"/>
      <c r="E844" s="22">
        <f t="shared" si="39"/>
        <v>0</v>
      </c>
      <c r="F844" s="22"/>
      <c r="G844" s="22"/>
      <c r="H844" s="22"/>
      <c r="I844" s="22">
        <f t="shared" si="40"/>
        <v>0</v>
      </c>
      <c r="J844" s="22">
        <f t="shared" si="41"/>
        <v>0</v>
      </c>
      <c r="K844" s="22"/>
    </row>
    <row r="845" spans="1:11" x14ac:dyDescent="0.2">
      <c r="A845" s="15">
        <v>839</v>
      </c>
      <c r="B845" s="20"/>
      <c r="C845" s="21" t="s">
        <v>430</v>
      </c>
      <c r="D845" s="22">
        <v>282910.97265000001</v>
      </c>
      <c r="E845" s="22">
        <f t="shared" si="39"/>
        <v>282910.97265000001</v>
      </c>
      <c r="F845" s="22">
        <v>1399743.6941</v>
      </c>
      <c r="G845" s="22">
        <v>1619597.9889400001</v>
      </c>
      <c r="H845" s="22">
        <v>2328725.2620600001</v>
      </c>
      <c r="I845" s="22">
        <f t="shared" si="40"/>
        <v>5348066.9451000001</v>
      </c>
      <c r="J845" s="22">
        <f t="shared" si="41"/>
        <v>5630977.91775</v>
      </c>
      <c r="K845" s="22">
        <v>417096.27497999999</v>
      </c>
    </row>
    <row r="846" spans="1:11" x14ac:dyDescent="0.2">
      <c r="A846" s="15">
        <v>840</v>
      </c>
      <c r="B846" s="20"/>
      <c r="C846" s="21"/>
      <c r="D846" s="22"/>
      <c r="E846" s="22">
        <f t="shared" si="39"/>
        <v>0</v>
      </c>
      <c r="F846" s="22"/>
      <c r="G846" s="22"/>
      <c r="H846" s="22"/>
      <c r="I846" s="22">
        <f t="shared" si="40"/>
        <v>0</v>
      </c>
      <c r="J846" s="22">
        <f t="shared" si="41"/>
        <v>0</v>
      </c>
      <c r="K846" s="22"/>
    </row>
    <row r="847" spans="1:11" x14ac:dyDescent="0.2">
      <c r="A847" s="15">
        <v>841</v>
      </c>
      <c r="B847" s="20"/>
      <c r="C847" s="21" t="s">
        <v>431</v>
      </c>
      <c r="D847" s="22">
        <v>0</v>
      </c>
      <c r="E847" s="22">
        <f t="shared" si="39"/>
        <v>0</v>
      </c>
      <c r="F847" s="22">
        <v>0</v>
      </c>
      <c r="G847" s="22">
        <v>0</v>
      </c>
      <c r="H847" s="22">
        <v>0</v>
      </c>
      <c r="I847" s="22">
        <f t="shared" si="40"/>
        <v>0</v>
      </c>
      <c r="J847" s="22">
        <f t="shared" si="41"/>
        <v>0</v>
      </c>
      <c r="K847" s="22">
        <v>0</v>
      </c>
    </row>
    <row r="848" spans="1:11" x14ac:dyDescent="0.2">
      <c r="A848" s="15">
        <v>842</v>
      </c>
      <c r="B848" s="20"/>
      <c r="C848" s="21"/>
      <c r="D848" s="22"/>
      <c r="E848" s="22">
        <f t="shared" si="39"/>
        <v>0</v>
      </c>
      <c r="F848" s="22"/>
      <c r="G848" s="22"/>
      <c r="H848" s="22"/>
      <c r="I848" s="22">
        <f t="shared" si="40"/>
        <v>0</v>
      </c>
      <c r="J848" s="22">
        <f t="shared" si="41"/>
        <v>0</v>
      </c>
      <c r="K848" s="22"/>
    </row>
    <row r="849" spans="1:11" x14ac:dyDescent="0.2">
      <c r="A849" s="15">
        <v>843</v>
      </c>
      <c r="B849" s="20">
        <v>6</v>
      </c>
      <c r="C849" s="21" t="s">
        <v>432</v>
      </c>
      <c r="D849" s="22">
        <v>53809.300040000002</v>
      </c>
      <c r="E849" s="22">
        <f t="shared" si="39"/>
        <v>53809.300040000002</v>
      </c>
      <c r="F849" s="22">
        <v>237139.88219999999</v>
      </c>
      <c r="G849" s="22">
        <v>3293.6251299999999</v>
      </c>
      <c r="H849" s="22">
        <v>55988.828780000003</v>
      </c>
      <c r="I849" s="22">
        <f t="shared" si="40"/>
        <v>296422.33610999997</v>
      </c>
      <c r="J849" s="22">
        <f t="shared" si="41"/>
        <v>350231.63614999998</v>
      </c>
      <c r="K849" s="22">
        <v>98284.721919999996</v>
      </c>
    </row>
    <row r="850" spans="1:11" x14ac:dyDescent="0.2">
      <c r="A850" s="15">
        <v>844</v>
      </c>
      <c r="B850" s="20">
        <v>61</v>
      </c>
      <c r="C850" s="21" t="s">
        <v>433</v>
      </c>
      <c r="D850" s="22">
        <v>0</v>
      </c>
      <c r="E850" s="22">
        <f t="shared" si="39"/>
        <v>0</v>
      </c>
      <c r="F850" s="22">
        <v>0</v>
      </c>
      <c r="G850" s="22">
        <v>869.01900000000001</v>
      </c>
      <c r="H850" s="22">
        <v>0</v>
      </c>
      <c r="I850" s="22">
        <f t="shared" si="40"/>
        <v>869.01900000000001</v>
      </c>
      <c r="J850" s="22">
        <f t="shared" si="41"/>
        <v>869.01900000000001</v>
      </c>
      <c r="K850" s="22">
        <v>0</v>
      </c>
    </row>
    <row r="851" spans="1:11" x14ac:dyDescent="0.2">
      <c r="A851" s="15">
        <v>845</v>
      </c>
      <c r="B851" s="20">
        <v>6101</v>
      </c>
      <c r="C851" s="21" t="s">
        <v>434</v>
      </c>
      <c r="D851" s="22"/>
      <c r="E851" s="22">
        <f t="shared" si="39"/>
        <v>0</v>
      </c>
      <c r="F851" s="22"/>
      <c r="G851" s="22"/>
      <c r="H851" s="22">
        <v>0</v>
      </c>
      <c r="I851" s="22">
        <f t="shared" si="40"/>
        <v>0</v>
      </c>
      <c r="J851" s="22">
        <f t="shared" si="41"/>
        <v>0</v>
      </c>
      <c r="K851" s="22"/>
    </row>
    <row r="852" spans="1:11" x14ac:dyDescent="0.2">
      <c r="A852" s="15">
        <v>846</v>
      </c>
      <c r="B852" s="20">
        <v>610105</v>
      </c>
      <c r="C852" s="21" t="s">
        <v>435</v>
      </c>
      <c r="D852" s="22"/>
      <c r="E852" s="22">
        <f t="shared" si="39"/>
        <v>0</v>
      </c>
      <c r="F852" s="22"/>
      <c r="G852" s="22"/>
      <c r="H852" s="22">
        <v>0</v>
      </c>
      <c r="I852" s="22">
        <f t="shared" si="40"/>
        <v>0</v>
      </c>
      <c r="J852" s="22">
        <f t="shared" si="41"/>
        <v>0</v>
      </c>
      <c r="K852" s="22"/>
    </row>
    <row r="853" spans="1:11" x14ac:dyDescent="0.2">
      <c r="A853" s="15">
        <v>847</v>
      </c>
      <c r="B853" s="20">
        <v>610110</v>
      </c>
      <c r="C853" s="21" t="s">
        <v>436</v>
      </c>
      <c r="D853" s="22"/>
      <c r="E853" s="22">
        <f t="shared" si="39"/>
        <v>0</v>
      </c>
      <c r="F853" s="22"/>
      <c r="G853" s="22"/>
      <c r="H853" s="22">
        <v>0</v>
      </c>
      <c r="I853" s="22">
        <f t="shared" si="40"/>
        <v>0</v>
      </c>
      <c r="J853" s="22">
        <f t="shared" si="41"/>
        <v>0</v>
      </c>
      <c r="K853" s="22"/>
    </row>
    <row r="854" spans="1:11" x14ac:dyDescent="0.2">
      <c r="A854" s="15">
        <v>848</v>
      </c>
      <c r="B854" s="20">
        <v>610115</v>
      </c>
      <c r="C854" s="21" t="s">
        <v>437</v>
      </c>
      <c r="D854" s="22"/>
      <c r="E854" s="22">
        <f t="shared" si="39"/>
        <v>0</v>
      </c>
      <c r="F854" s="22"/>
      <c r="G854" s="22"/>
      <c r="H854" s="22">
        <v>0</v>
      </c>
      <c r="I854" s="22">
        <f t="shared" si="40"/>
        <v>0</v>
      </c>
      <c r="J854" s="22">
        <f t="shared" si="41"/>
        <v>0</v>
      </c>
      <c r="K854" s="22"/>
    </row>
    <row r="855" spans="1:11" x14ac:dyDescent="0.2">
      <c r="A855" s="15">
        <v>849</v>
      </c>
      <c r="B855" s="20">
        <v>610120</v>
      </c>
      <c r="C855" s="21" t="s">
        <v>438</v>
      </c>
      <c r="D855" s="22"/>
      <c r="E855" s="22">
        <f t="shared" si="39"/>
        <v>0</v>
      </c>
      <c r="F855" s="22"/>
      <c r="G855" s="22"/>
      <c r="H855" s="22">
        <v>0</v>
      </c>
      <c r="I855" s="22">
        <f t="shared" si="40"/>
        <v>0</v>
      </c>
      <c r="J855" s="22">
        <f t="shared" si="41"/>
        <v>0</v>
      </c>
      <c r="K855" s="22"/>
    </row>
    <row r="856" spans="1:11" x14ac:dyDescent="0.2">
      <c r="A856" s="15">
        <v>850</v>
      </c>
      <c r="B856" s="20">
        <v>6102</v>
      </c>
      <c r="C856" s="21" t="s">
        <v>439</v>
      </c>
      <c r="D856" s="22"/>
      <c r="E856" s="22">
        <f t="shared" si="39"/>
        <v>0</v>
      </c>
      <c r="F856" s="22"/>
      <c r="G856" s="22"/>
      <c r="H856" s="22">
        <v>0</v>
      </c>
      <c r="I856" s="22">
        <f t="shared" si="40"/>
        <v>0</v>
      </c>
      <c r="J856" s="22">
        <f t="shared" si="41"/>
        <v>0</v>
      </c>
      <c r="K856" s="22"/>
    </row>
    <row r="857" spans="1:11" x14ac:dyDescent="0.2">
      <c r="A857" s="15">
        <v>851</v>
      </c>
      <c r="B857" s="20">
        <v>610205</v>
      </c>
      <c r="C857" s="21" t="s">
        <v>435</v>
      </c>
      <c r="D857" s="22"/>
      <c r="E857" s="22">
        <f t="shared" si="39"/>
        <v>0</v>
      </c>
      <c r="F857" s="22"/>
      <c r="G857" s="22"/>
      <c r="H857" s="22">
        <v>0</v>
      </c>
      <c r="I857" s="22">
        <f t="shared" si="40"/>
        <v>0</v>
      </c>
      <c r="J857" s="22">
        <f t="shared" si="41"/>
        <v>0</v>
      </c>
      <c r="K857" s="22"/>
    </row>
    <row r="858" spans="1:11" x14ac:dyDescent="0.2">
      <c r="A858" s="15">
        <v>852</v>
      </c>
      <c r="B858" s="20">
        <v>610210</v>
      </c>
      <c r="C858" s="21" t="s">
        <v>436</v>
      </c>
      <c r="D858" s="22"/>
      <c r="E858" s="22">
        <f t="shared" si="39"/>
        <v>0</v>
      </c>
      <c r="F858" s="22"/>
      <c r="G858" s="22"/>
      <c r="H858" s="22">
        <v>0</v>
      </c>
      <c r="I858" s="22">
        <f t="shared" si="40"/>
        <v>0</v>
      </c>
      <c r="J858" s="22">
        <f t="shared" si="41"/>
        <v>0</v>
      </c>
      <c r="K858" s="22"/>
    </row>
    <row r="859" spans="1:11" x14ac:dyDescent="0.2">
      <c r="A859" s="15">
        <v>853</v>
      </c>
      <c r="B859" s="20">
        <v>610215</v>
      </c>
      <c r="C859" s="21" t="s">
        <v>437</v>
      </c>
      <c r="D859" s="22"/>
      <c r="E859" s="22">
        <f t="shared" si="39"/>
        <v>0</v>
      </c>
      <c r="F859" s="22"/>
      <c r="G859" s="22"/>
      <c r="H859" s="22">
        <v>0</v>
      </c>
      <c r="I859" s="22">
        <f t="shared" si="40"/>
        <v>0</v>
      </c>
      <c r="J859" s="22">
        <f t="shared" si="41"/>
        <v>0</v>
      </c>
      <c r="K859" s="22"/>
    </row>
    <row r="860" spans="1:11" x14ac:dyDescent="0.2">
      <c r="A860" s="15">
        <v>854</v>
      </c>
      <c r="B860" s="20">
        <v>610220</v>
      </c>
      <c r="C860" s="21" t="s">
        <v>438</v>
      </c>
      <c r="D860" s="22"/>
      <c r="E860" s="22">
        <f t="shared" si="39"/>
        <v>0</v>
      </c>
      <c r="F860" s="22"/>
      <c r="G860" s="22"/>
      <c r="H860" s="22">
        <v>0</v>
      </c>
      <c r="I860" s="22">
        <f t="shared" si="40"/>
        <v>0</v>
      </c>
      <c r="J860" s="22">
        <f t="shared" si="41"/>
        <v>0</v>
      </c>
      <c r="K860" s="22"/>
    </row>
    <row r="861" spans="1:11" x14ac:dyDescent="0.2">
      <c r="A861" s="15">
        <v>855</v>
      </c>
      <c r="B861" s="20">
        <v>6103</v>
      </c>
      <c r="C861" s="21" t="s">
        <v>440</v>
      </c>
      <c r="D861" s="22"/>
      <c r="E861" s="22">
        <f t="shared" si="39"/>
        <v>0</v>
      </c>
      <c r="F861" s="22"/>
      <c r="G861" s="22"/>
      <c r="H861" s="22">
        <v>0</v>
      </c>
      <c r="I861" s="22">
        <f t="shared" si="40"/>
        <v>0</v>
      </c>
      <c r="J861" s="22">
        <f t="shared" si="41"/>
        <v>0</v>
      </c>
      <c r="K861" s="22"/>
    </row>
    <row r="862" spans="1:11" x14ac:dyDescent="0.2">
      <c r="A862" s="15">
        <v>856</v>
      </c>
      <c r="B862" s="20">
        <v>6104</v>
      </c>
      <c r="C862" s="21" t="s">
        <v>441</v>
      </c>
      <c r="D862" s="22"/>
      <c r="E862" s="22">
        <f t="shared" si="39"/>
        <v>0</v>
      </c>
      <c r="F862" s="22"/>
      <c r="G862" s="22"/>
      <c r="H862" s="22">
        <v>0</v>
      </c>
      <c r="I862" s="22">
        <f t="shared" si="40"/>
        <v>0</v>
      </c>
      <c r="J862" s="22">
        <f t="shared" si="41"/>
        <v>0</v>
      </c>
      <c r="K862" s="22"/>
    </row>
    <row r="863" spans="1:11" x14ac:dyDescent="0.2">
      <c r="A863" s="15">
        <v>857</v>
      </c>
      <c r="B863" s="20">
        <v>6105</v>
      </c>
      <c r="C863" s="21" t="s">
        <v>442</v>
      </c>
      <c r="D863" s="22"/>
      <c r="E863" s="22">
        <f t="shared" si="39"/>
        <v>0</v>
      </c>
      <c r="F863" s="22"/>
      <c r="G863" s="22"/>
      <c r="H863" s="22">
        <v>0</v>
      </c>
      <c r="I863" s="22">
        <f t="shared" si="40"/>
        <v>0</v>
      </c>
      <c r="J863" s="22">
        <f t="shared" si="41"/>
        <v>0</v>
      </c>
      <c r="K863" s="22"/>
    </row>
    <row r="864" spans="1:11" x14ac:dyDescent="0.2">
      <c r="A864" s="15">
        <v>858</v>
      </c>
      <c r="B864" s="20">
        <v>6190</v>
      </c>
      <c r="C864" s="21" t="s">
        <v>443</v>
      </c>
      <c r="D864" s="22">
        <v>0</v>
      </c>
      <c r="E864" s="22">
        <f t="shared" si="39"/>
        <v>0</v>
      </c>
      <c r="F864" s="22">
        <v>0</v>
      </c>
      <c r="G864" s="22">
        <v>869.01900000000001</v>
      </c>
      <c r="H864" s="22">
        <v>0</v>
      </c>
      <c r="I864" s="22">
        <f t="shared" si="40"/>
        <v>869.01900000000001</v>
      </c>
      <c r="J864" s="22">
        <f t="shared" si="41"/>
        <v>869.01900000000001</v>
      </c>
      <c r="K864" s="22">
        <v>0</v>
      </c>
    </row>
    <row r="865" spans="1:11" x14ac:dyDescent="0.2">
      <c r="A865" s="15">
        <v>859</v>
      </c>
      <c r="B865" s="20">
        <v>64</v>
      </c>
      <c r="C865" s="21" t="s">
        <v>444</v>
      </c>
      <c r="D865" s="22">
        <v>53809.300040000002</v>
      </c>
      <c r="E865" s="22">
        <f t="shared" si="39"/>
        <v>53809.300040000002</v>
      </c>
      <c r="F865" s="22">
        <v>237139.88219999999</v>
      </c>
      <c r="G865" s="22">
        <v>2424.6061300000001</v>
      </c>
      <c r="H865" s="22">
        <v>55988.828780000003</v>
      </c>
      <c r="I865" s="22">
        <f t="shared" si="40"/>
        <v>295553.31711</v>
      </c>
      <c r="J865" s="22">
        <f t="shared" si="41"/>
        <v>349362.61715000001</v>
      </c>
      <c r="K865" s="22">
        <v>98284.721919999996</v>
      </c>
    </row>
    <row r="866" spans="1:11" x14ac:dyDescent="0.2">
      <c r="A866" s="15">
        <v>860</v>
      </c>
      <c r="B866" s="20">
        <v>6401</v>
      </c>
      <c r="C866" s="21" t="s">
        <v>445</v>
      </c>
      <c r="D866" s="22"/>
      <c r="E866" s="22">
        <f t="shared" si="39"/>
        <v>0</v>
      </c>
      <c r="F866" s="22"/>
      <c r="G866" s="22">
        <v>0</v>
      </c>
      <c r="H866" s="22">
        <v>0</v>
      </c>
      <c r="I866" s="22">
        <f t="shared" si="40"/>
        <v>0</v>
      </c>
      <c r="J866" s="22">
        <f t="shared" si="41"/>
        <v>0</v>
      </c>
      <c r="K866" s="22"/>
    </row>
    <row r="867" spans="1:11" x14ac:dyDescent="0.2">
      <c r="A867" s="15">
        <v>861</v>
      </c>
      <c r="B867" s="20">
        <v>640105</v>
      </c>
      <c r="C867" s="21" t="s">
        <v>446</v>
      </c>
      <c r="D867" s="22"/>
      <c r="E867" s="22">
        <f t="shared" si="39"/>
        <v>0</v>
      </c>
      <c r="F867" s="22"/>
      <c r="G867" s="22">
        <v>0</v>
      </c>
      <c r="H867" s="22">
        <v>0</v>
      </c>
      <c r="I867" s="22">
        <f t="shared" si="40"/>
        <v>0</v>
      </c>
      <c r="J867" s="22">
        <f t="shared" si="41"/>
        <v>0</v>
      </c>
      <c r="K867" s="22"/>
    </row>
    <row r="868" spans="1:11" x14ac:dyDescent="0.2">
      <c r="A868" s="15">
        <v>862</v>
      </c>
      <c r="B868" s="20">
        <v>640110</v>
      </c>
      <c r="C868" s="21" t="s">
        <v>447</v>
      </c>
      <c r="D868" s="22"/>
      <c r="E868" s="22">
        <f t="shared" si="39"/>
        <v>0</v>
      </c>
      <c r="F868" s="22"/>
      <c r="G868" s="22">
        <v>0</v>
      </c>
      <c r="H868" s="22">
        <v>0</v>
      </c>
      <c r="I868" s="22">
        <f t="shared" si="40"/>
        <v>0</v>
      </c>
      <c r="J868" s="22">
        <f t="shared" si="41"/>
        <v>0</v>
      </c>
      <c r="K868" s="22"/>
    </row>
    <row r="869" spans="1:11" x14ac:dyDescent="0.2">
      <c r="A869" s="15">
        <v>863</v>
      </c>
      <c r="B869" s="20">
        <v>6402</v>
      </c>
      <c r="C869" s="21" t="s">
        <v>448</v>
      </c>
      <c r="D869" s="22"/>
      <c r="E869" s="22">
        <f t="shared" si="39"/>
        <v>0</v>
      </c>
      <c r="F869" s="22"/>
      <c r="G869" s="22">
        <v>19.408429999999999</v>
      </c>
      <c r="H869" s="22">
        <v>0</v>
      </c>
      <c r="I869" s="22">
        <f t="shared" si="40"/>
        <v>19.408429999999999</v>
      </c>
      <c r="J869" s="22">
        <f t="shared" si="41"/>
        <v>19.408429999999999</v>
      </c>
      <c r="K869" s="22"/>
    </row>
    <row r="870" spans="1:11" x14ac:dyDescent="0.2">
      <c r="A870" s="15">
        <v>864</v>
      </c>
      <c r="B870" s="20">
        <v>640205</v>
      </c>
      <c r="C870" s="21" t="s">
        <v>449</v>
      </c>
      <c r="D870" s="22"/>
      <c r="E870" s="22">
        <f t="shared" si="39"/>
        <v>0</v>
      </c>
      <c r="F870" s="22"/>
      <c r="G870" s="22">
        <v>0</v>
      </c>
      <c r="H870" s="22">
        <v>0</v>
      </c>
      <c r="I870" s="22">
        <f t="shared" si="40"/>
        <v>0</v>
      </c>
      <c r="J870" s="22">
        <f t="shared" si="41"/>
        <v>0</v>
      </c>
      <c r="K870" s="22"/>
    </row>
    <row r="871" spans="1:11" x14ac:dyDescent="0.2">
      <c r="A871" s="15">
        <v>865</v>
      </c>
      <c r="B871" s="20">
        <v>640210</v>
      </c>
      <c r="C871" s="21" t="s">
        <v>450</v>
      </c>
      <c r="D871" s="22"/>
      <c r="E871" s="22">
        <f t="shared" si="39"/>
        <v>0</v>
      </c>
      <c r="F871" s="22"/>
      <c r="G871" s="22">
        <v>0</v>
      </c>
      <c r="H871" s="22"/>
      <c r="I871" s="22">
        <f t="shared" si="40"/>
        <v>0</v>
      </c>
      <c r="J871" s="22">
        <f t="shared" si="41"/>
        <v>0</v>
      </c>
      <c r="K871" s="22"/>
    </row>
    <row r="872" spans="1:11" x14ac:dyDescent="0.2">
      <c r="A872" s="15">
        <v>866</v>
      </c>
      <c r="B872" s="20">
        <v>640215</v>
      </c>
      <c r="C872" s="21" t="s">
        <v>451</v>
      </c>
      <c r="D872" s="22"/>
      <c r="E872" s="22">
        <f t="shared" si="39"/>
        <v>0</v>
      </c>
      <c r="F872" s="22"/>
      <c r="G872" s="22">
        <v>0</v>
      </c>
      <c r="H872" s="22">
        <v>0</v>
      </c>
      <c r="I872" s="22">
        <f t="shared" si="40"/>
        <v>0</v>
      </c>
      <c r="J872" s="22">
        <f t="shared" si="41"/>
        <v>0</v>
      </c>
      <c r="K872" s="22"/>
    </row>
    <row r="873" spans="1:11" x14ac:dyDescent="0.2">
      <c r="A873" s="15">
        <v>867</v>
      </c>
      <c r="B873" s="20">
        <v>640220</v>
      </c>
      <c r="C873" s="21" t="s">
        <v>452</v>
      </c>
      <c r="D873" s="22"/>
      <c r="E873" s="22">
        <f t="shared" si="39"/>
        <v>0</v>
      </c>
      <c r="F873" s="22"/>
      <c r="G873" s="22"/>
      <c r="H873" s="22"/>
      <c r="I873" s="22">
        <f t="shared" si="40"/>
        <v>0</v>
      </c>
      <c r="J873" s="22">
        <f t="shared" si="41"/>
        <v>0</v>
      </c>
      <c r="K873" s="22"/>
    </row>
    <row r="874" spans="1:11" x14ac:dyDescent="0.2">
      <c r="A874" s="15">
        <v>868</v>
      </c>
      <c r="B874" s="20">
        <v>640290</v>
      </c>
      <c r="C874" s="21" t="s">
        <v>157</v>
      </c>
      <c r="D874" s="22"/>
      <c r="E874" s="22">
        <f t="shared" si="39"/>
        <v>0</v>
      </c>
      <c r="F874" s="22"/>
      <c r="G874" s="22">
        <v>19.408429999999999</v>
      </c>
      <c r="H874" s="22">
        <v>0</v>
      </c>
      <c r="I874" s="22">
        <f t="shared" si="40"/>
        <v>19.408429999999999</v>
      </c>
      <c r="J874" s="22">
        <f t="shared" si="41"/>
        <v>19.408429999999999</v>
      </c>
      <c r="K874" s="22"/>
    </row>
    <row r="875" spans="1:11" x14ac:dyDescent="0.2">
      <c r="A875" s="15">
        <v>869</v>
      </c>
      <c r="B875" s="20">
        <v>6403</v>
      </c>
      <c r="C875" s="21" t="s">
        <v>453</v>
      </c>
      <c r="D875" s="22"/>
      <c r="E875" s="22">
        <f t="shared" si="39"/>
        <v>0</v>
      </c>
      <c r="F875" s="22"/>
      <c r="G875" s="22">
        <v>0</v>
      </c>
      <c r="H875" s="22">
        <v>0</v>
      </c>
      <c r="I875" s="22">
        <f t="shared" si="40"/>
        <v>0</v>
      </c>
      <c r="J875" s="22">
        <f t="shared" si="41"/>
        <v>0</v>
      </c>
      <c r="K875" s="22"/>
    </row>
    <row r="876" spans="1:11" x14ac:dyDescent="0.2">
      <c r="A876" s="15">
        <v>870</v>
      </c>
      <c r="B876" s="20">
        <v>640305</v>
      </c>
      <c r="C876" s="21" t="s">
        <v>454</v>
      </c>
      <c r="D876" s="22"/>
      <c r="E876" s="22">
        <f t="shared" si="39"/>
        <v>0</v>
      </c>
      <c r="F876" s="22"/>
      <c r="G876" s="22">
        <v>0</v>
      </c>
      <c r="H876" s="22">
        <v>0</v>
      </c>
      <c r="I876" s="22">
        <f t="shared" si="40"/>
        <v>0</v>
      </c>
      <c r="J876" s="22">
        <f t="shared" si="41"/>
        <v>0</v>
      </c>
      <c r="K876" s="22"/>
    </row>
    <row r="877" spans="1:11" x14ac:dyDescent="0.2">
      <c r="A877" s="15">
        <v>871</v>
      </c>
      <c r="B877" s="20">
        <v>640310</v>
      </c>
      <c r="C877" s="21" t="s">
        <v>455</v>
      </c>
      <c r="D877" s="22"/>
      <c r="E877" s="22">
        <f t="shared" si="39"/>
        <v>0</v>
      </c>
      <c r="F877" s="22"/>
      <c r="G877" s="22">
        <v>0</v>
      </c>
      <c r="H877" s="22">
        <v>0</v>
      </c>
      <c r="I877" s="22">
        <f t="shared" si="40"/>
        <v>0</v>
      </c>
      <c r="J877" s="22">
        <f t="shared" si="41"/>
        <v>0</v>
      </c>
      <c r="K877" s="22"/>
    </row>
    <row r="878" spans="1:11" x14ac:dyDescent="0.2">
      <c r="A878" s="15">
        <v>872</v>
      </c>
      <c r="B878" s="20">
        <v>640315</v>
      </c>
      <c r="C878" s="21" t="s">
        <v>456</v>
      </c>
      <c r="D878" s="22"/>
      <c r="E878" s="22">
        <f t="shared" si="39"/>
        <v>0</v>
      </c>
      <c r="F878" s="22"/>
      <c r="G878" s="22">
        <v>0</v>
      </c>
      <c r="H878" s="22">
        <v>0</v>
      </c>
      <c r="I878" s="22">
        <f t="shared" si="40"/>
        <v>0</v>
      </c>
      <c r="J878" s="22">
        <f t="shared" si="41"/>
        <v>0</v>
      </c>
      <c r="K878" s="22"/>
    </row>
    <row r="879" spans="1:11" x14ac:dyDescent="0.2">
      <c r="A879" s="15">
        <v>873</v>
      </c>
      <c r="B879" s="20">
        <v>6404</v>
      </c>
      <c r="C879" s="21" t="s">
        <v>457</v>
      </c>
      <c r="D879" s="22">
        <v>53809.300040000002</v>
      </c>
      <c r="E879" s="22">
        <f t="shared" si="39"/>
        <v>53809.300040000002</v>
      </c>
      <c r="F879" s="22">
        <v>237139.88219999999</v>
      </c>
      <c r="G879" s="22">
        <v>2405.1977000000002</v>
      </c>
      <c r="H879" s="22">
        <v>55988.828780000003</v>
      </c>
      <c r="I879" s="22">
        <f t="shared" si="40"/>
        <v>295533.90867999999</v>
      </c>
      <c r="J879" s="22">
        <f t="shared" si="41"/>
        <v>349343.20872</v>
      </c>
      <c r="K879" s="22">
        <v>98284.721919999996</v>
      </c>
    </row>
    <row r="880" spans="1:11" x14ac:dyDescent="0.2">
      <c r="A880" s="15">
        <v>874</v>
      </c>
      <c r="B880" s="20">
        <v>640405</v>
      </c>
      <c r="C880" s="21" t="s">
        <v>144</v>
      </c>
      <c r="D880" s="22">
        <v>53809.300040000002</v>
      </c>
      <c r="E880" s="22">
        <f t="shared" si="39"/>
        <v>53809.300040000002</v>
      </c>
      <c r="F880" s="22"/>
      <c r="G880" s="22">
        <v>2075.1454199999998</v>
      </c>
      <c r="H880" s="22">
        <v>55640.987780000003</v>
      </c>
      <c r="I880" s="22">
        <f t="shared" si="40"/>
        <v>57716.133200000004</v>
      </c>
      <c r="J880" s="22">
        <f t="shared" si="41"/>
        <v>111525.43324000001</v>
      </c>
      <c r="K880" s="22"/>
    </row>
    <row r="881" spans="1:11" x14ac:dyDescent="0.2">
      <c r="A881" s="15">
        <v>875</v>
      </c>
      <c r="B881" s="20">
        <v>640410</v>
      </c>
      <c r="C881" s="21" t="s">
        <v>145</v>
      </c>
      <c r="D881" s="22">
        <v>0</v>
      </c>
      <c r="E881" s="22">
        <f t="shared" si="39"/>
        <v>0</v>
      </c>
      <c r="F881" s="22">
        <v>0</v>
      </c>
      <c r="G881" s="22">
        <v>0</v>
      </c>
      <c r="H881" s="22">
        <v>0</v>
      </c>
      <c r="I881" s="22">
        <f t="shared" si="40"/>
        <v>0</v>
      </c>
      <c r="J881" s="22">
        <f t="shared" si="41"/>
        <v>0</v>
      </c>
      <c r="K881" s="22"/>
    </row>
    <row r="882" spans="1:11" x14ac:dyDescent="0.2">
      <c r="A882" s="15">
        <v>876</v>
      </c>
      <c r="B882" s="20">
        <v>640415</v>
      </c>
      <c r="C882" s="21" t="s">
        <v>146</v>
      </c>
      <c r="D882" s="22">
        <v>0</v>
      </c>
      <c r="E882" s="22">
        <f t="shared" si="39"/>
        <v>0</v>
      </c>
      <c r="F882" s="22"/>
      <c r="G882" s="22"/>
      <c r="H882" s="22"/>
      <c r="I882" s="22">
        <f t="shared" si="40"/>
        <v>0</v>
      </c>
      <c r="J882" s="22">
        <f t="shared" si="41"/>
        <v>0</v>
      </c>
      <c r="K882" s="22"/>
    </row>
    <row r="883" spans="1:11" x14ac:dyDescent="0.2">
      <c r="A883" s="15">
        <v>877</v>
      </c>
      <c r="B883" s="20">
        <v>640420</v>
      </c>
      <c r="C883" s="21" t="s">
        <v>147</v>
      </c>
      <c r="D883" s="22"/>
      <c r="E883" s="22">
        <f t="shared" si="39"/>
        <v>0</v>
      </c>
      <c r="F883" s="22"/>
      <c r="G883" s="22">
        <v>330.05228</v>
      </c>
      <c r="H883" s="22">
        <v>347.84100000000001</v>
      </c>
      <c r="I883" s="22">
        <f t="shared" si="40"/>
        <v>677.89328</v>
      </c>
      <c r="J883" s="22">
        <f t="shared" si="41"/>
        <v>677.89328</v>
      </c>
      <c r="K883" s="22"/>
    </row>
    <row r="884" spans="1:11" x14ac:dyDescent="0.2">
      <c r="A884" s="15">
        <v>878</v>
      </c>
      <c r="B884" s="20">
        <v>640425</v>
      </c>
      <c r="C884" s="21" t="s">
        <v>148</v>
      </c>
      <c r="D884" s="22"/>
      <c r="E884" s="22">
        <f t="shared" si="39"/>
        <v>0</v>
      </c>
      <c r="F884" s="22"/>
      <c r="G884" s="22"/>
      <c r="H884" s="22"/>
      <c r="I884" s="22">
        <f t="shared" si="40"/>
        <v>0</v>
      </c>
      <c r="J884" s="22">
        <f t="shared" si="41"/>
        <v>0</v>
      </c>
      <c r="K884" s="22">
        <v>98284.721919999996</v>
      </c>
    </row>
    <row r="885" spans="1:11" x14ac:dyDescent="0.2">
      <c r="A885" s="15">
        <v>879</v>
      </c>
      <c r="B885" s="20">
        <v>640430</v>
      </c>
      <c r="C885" s="21" t="s">
        <v>149</v>
      </c>
      <c r="D885" s="22"/>
      <c r="E885" s="22">
        <f t="shared" si="39"/>
        <v>0</v>
      </c>
      <c r="F885" s="22">
        <v>237139.88219999999</v>
      </c>
      <c r="G885" s="22"/>
      <c r="H885" s="22"/>
      <c r="I885" s="22">
        <f t="shared" si="40"/>
        <v>237139.88219999999</v>
      </c>
      <c r="J885" s="22">
        <f t="shared" si="41"/>
        <v>237139.88219999999</v>
      </c>
      <c r="K885" s="22"/>
    </row>
    <row r="886" spans="1:11" x14ac:dyDescent="0.2">
      <c r="A886" s="15">
        <v>880</v>
      </c>
      <c r="B886" s="20">
        <v>6405</v>
      </c>
      <c r="C886" s="21" t="s">
        <v>458</v>
      </c>
      <c r="D886" s="22">
        <v>0</v>
      </c>
      <c r="E886" s="22">
        <f t="shared" si="39"/>
        <v>0</v>
      </c>
      <c r="F886" s="22">
        <v>0</v>
      </c>
      <c r="G886" s="22">
        <v>0</v>
      </c>
      <c r="H886" s="22">
        <v>0</v>
      </c>
      <c r="I886" s="22">
        <f t="shared" si="40"/>
        <v>0</v>
      </c>
      <c r="J886" s="22">
        <f t="shared" si="41"/>
        <v>0</v>
      </c>
      <c r="K886" s="22">
        <v>0</v>
      </c>
    </row>
    <row r="887" spans="1:11" x14ac:dyDescent="0.2">
      <c r="A887" s="15">
        <v>881</v>
      </c>
      <c r="B887" s="20">
        <v>640505</v>
      </c>
      <c r="C887" s="21" t="s">
        <v>459</v>
      </c>
      <c r="D887" s="22">
        <v>0</v>
      </c>
      <c r="E887" s="22">
        <f t="shared" si="39"/>
        <v>0</v>
      </c>
      <c r="F887" s="22">
        <v>0</v>
      </c>
      <c r="G887" s="22">
        <v>0</v>
      </c>
      <c r="H887" s="22">
        <v>0</v>
      </c>
      <c r="I887" s="22">
        <f t="shared" si="40"/>
        <v>0</v>
      </c>
      <c r="J887" s="22">
        <f t="shared" si="41"/>
        <v>0</v>
      </c>
      <c r="K887" s="22"/>
    </row>
    <row r="888" spans="1:11" x14ac:dyDescent="0.2">
      <c r="A888" s="15">
        <v>882</v>
      </c>
      <c r="B888" s="20">
        <v>640510</v>
      </c>
      <c r="C888" s="21" t="s">
        <v>460</v>
      </c>
      <c r="D888" s="22"/>
      <c r="E888" s="22">
        <f t="shared" si="39"/>
        <v>0</v>
      </c>
      <c r="F888" s="22"/>
      <c r="G888" s="22"/>
      <c r="H888" s="22"/>
      <c r="I888" s="22">
        <f t="shared" si="40"/>
        <v>0</v>
      </c>
      <c r="J888" s="22">
        <f t="shared" si="41"/>
        <v>0</v>
      </c>
      <c r="K888" s="22"/>
    </row>
    <row r="889" spans="1:11" x14ac:dyDescent="0.2">
      <c r="A889" s="15">
        <v>883</v>
      </c>
      <c r="B889" s="20">
        <v>640515</v>
      </c>
      <c r="C889" s="21" t="s">
        <v>461</v>
      </c>
      <c r="D889" s="22"/>
      <c r="E889" s="22">
        <f t="shared" si="39"/>
        <v>0</v>
      </c>
      <c r="F889" s="22"/>
      <c r="G889" s="22"/>
      <c r="H889" s="22"/>
      <c r="I889" s="22">
        <f t="shared" si="40"/>
        <v>0</v>
      </c>
      <c r="J889" s="22">
        <f t="shared" si="41"/>
        <v>0</v>
      </c>
      <c r="K889" s="22"/>
    </row>
    <row r="890" spans="1:11" x14ac:dyDescent="0.2">
      <c r="A890" s="15">
        <v>884</v>
      </c>
      <c r="B890" s="20">
        <v>640590</v>
      </c>
      <c r="C890" s="21" t="s">
        <v>462</v>
      </c>
      <c r="D890" s="22">
        <v>0</v>
      </c>
      <c r="E890" s="22">
        <f t="shared" si="39"/>
        <v>0</v>
      </c>
      <c r="F890" s="22">
        <v>0</v>
      </c>
      <c r="G890" s="22">
        <v>0</v>
      </c>
      <c r="H890" s="22">
        <v>0</v>
      </c>
      <c r="I890" s="22">
        <f t="shared" si="40"/>
        <v>0</v>
      </c>
      <c r="J890" s="22">
        <f t="shared" si="41"/>
        <v>0</v>
      </c>
      <c r="K890" s="22">
        <v>0</v>
      </c>
    </row>
    <row r="891" spans="1:11" x14ac:dyDescent="0.2">
      <c r="A891" s="15">
        <v>885</v>
      </c>
      <c r="B891" s="20">
        <v>6406</v>
      </c>
      <c r="C891" s="21" t="s">
        <v>463</v>
      </c>
      <c r="D891" s="22"/>
      <c r="E891" s="22">
        <f t="shared" si="39"/>
        <v>0</v>
      </c>
      <c r="F891" s="22"/>
      <c r="G891" s="22"/>
      <c r="H891" s="22"/>
      <c r="I891" s="22">
        <f t="shared" si="40"/>
        <v>0</v>
      </c>
      <c r="J891" s="22">
        <f t="shared" si="41"/>
        <v>0</v>
      </c>
      <c r="K891" s="22"/>
    </row>
    <row r="892" spans="1:11" x14ac:dyDescent="0.2">
      <c r="A892" s="15">
        <v>886</v>
      </c>
      <c r="B892" s="20">
        <v>6407</v>
      </c>
      <c r="C892" s="21" t="s">
        <v>464</v>
      </c>
      <c r="D892" s="22"/>
      <c r="E892" s="22">
        <f t="shared" si="39"/>
        <v>0</v>
      </c>
      <c r="F892" s="22"/>
      <c r="G892" s="22"/>
      <c r="H892" s="22">
        <v>0</v>
      </c>
      <c r="I892" s="22">
        <f t="shared" si="40"/>
        <v>0</v>
      </c>
      <c r="J892" s="22">
        <f t="shared" si="41"/>
        <v>0</v>
      </c>
      <c r="K892" s="22"/>
    </row>
    <row r="893" spans="1:11" x14ac:dyDescent="0.2">
      <c r="A893" s="15">
        <v>887</v>
      </c>
      <c r="B893" s="20">
        <v>640705</v>
      </c>
      <c r="C893" s="21" t="s">
        <v>435</v>
      </c>
      <c r="D893" s="22"/>
      <c r="E893" s="22">
        <f t="shared" si="39"/>
        <v>0</v>
      </c>
      <c r="F893" s="22"/>
      <c r="G893" s="22"/>
      <c r="H893" s="22">
        <v>0</v>
      </c>
      <c r="I893" s="22">
        <f t="shared" si="40"/>
        <v>0</v>
      </c>
      <c r="J893" s="22">
        <f t="shared" si="41"/>
        <v>0</v>
      </c>
      <c r="K893" s="22"/>
    </row>
    <row r="894" spans="1:11" x14ac:dyDescent="0.2">
      <c r="A894" s="15">
        <v>888</v>
      </c>
      <c r="B894" s="20">
        <v>640710</v>
      </c>
      <c r="C894" s="21" t="s">
        <v>436</v>
      </c>
      <c r="D894" s="22"/>
      <c r="E894" s="22">
        <f t="shared" si="39"/>
        <v>0</v>
      </c>
      <c r="F894" s="22"/>
      <c r="G894" s="22"/>
      <c r="H894" s="22">
        <v>0</v>
      </c>
      <c r="I894" s="22">
        <f t="shared" si="40"/>
        <v>0</v>
      </c>
      <c r="J894" s="22">
        <f t="shared" si="41"/>
        <v>0</v>
      </c>
      <c r="K894" s="22"/>
    </row>
    <row r="895" spans="1:11" x14ac:dyDescent="0.2">
      <c r="A895" s="15">
        <v>889</v>
      </c>
      <c r="B895" s="20">
        <v>640715</v>
      </c>
      <c r="C895" s="21" t="s">
        <v>437</v>
      </c>
      <c r="D895" s="22"/>
      <c r="E895" s="22">
        <f t="shared" si="39"/>
        <v>0</v>
      </c>
      <c r="F895" s="22"/>
      <c r="G895" s="22"/>
      <c r="H895" s="22">
        <v>0</v>
      </c>
      <c r="I895" s="22">
        <f t="shared" si="40"/>
        <v>0</v>
      </c>
      <c r="J895" s="22">
        <f t="shared" si="41"/>
        <v>0</v>
      </c>
      <c r="K895" s="22"/>
    </row>
    <row r="896" spans="1:11" x14ac:dyDescent="0.2">
      <c r="A896" s="15">
        <v>890</v>
      </c>
      <c r="B896" s="20">
        <v>640720</v>
      </c>
      <c r="C896" s="21" t="s">
        <v>465</v>
      </c>
      <c r="D896" s="22"/>
      <c r="E896" s="22">
        <f t="shared" si="39"/>
        <v>0</v>
      </c>
      <c r="F896" s="22"/>
      <c r="G896" s="22"/>
      <c r="H896" s="22">
        <v>0</v>
      </c>
      <c r="I896" s="22">
        <f t="shared" si="40"/>
        <v>0</v>
      </c>
      <c r="J896" s="22">
        <f t="shared" si="41"/>
        <v>0</v>
      </c>
      <c r="K896" s="22"/>
    </row>
    <row r="897" spans="1:11" x14ac:dyDescent="0.2">
      <c r="A897" s="15">
        <v>891</v>
      </c>
      <c r="B897" s="20">
        <v>6408</v>
      </c>
      <c r="C897" s="21" t="s">
        <v>466</v>
      </c>
      <c r="D897" s="22"/>
      <c r="E897" s="22">
        <f t="shared" si="39"/>
        <v>0</v>
      </c>
      <c r="F897" s="22"/>
      <c r="G897" s="22"/>
      <c r="H897" s="22">
        <v>0</v>
      </c>
      <c r="I897" s="22">
        <f t="shared" si="40"/>
        <v>0</v>
      </c>
      <c r="J897" s="22">
        <f t="shared" si="41"/>
        <v>0</v>
      </c>
      <c r="K897" s="22"/>
    </row>
    <row r="898" spans="1:11" x14ac:dyDescent="0.2">
      <c r="A898" s="15">
        <v>892</v>
      </c>
      <c r="B898" s="20">
        <v>640805</v>
      </c>
      <c r="C898" s="21" t="s">
        <v>435</v>
      </c>
      <c r="D898" s="22"/>
      <c r="E898" s="22">
        <f t="shared" si="39"/>
        <v>0</v>
      </c>
      <c r="F898" s="22"/>
      <c r="G898" s="22"/>
      <c r="H898" s="22">
        <v>0</v>
      </c>
      <c r="I898" s="22">
        <f t="shared" si="40"/>
        <v>0</v>
      </c>
      <c r="J898" s="22">
        <f t="shared" si="41"/>
        <v>0</v>
      </c>
      <c r="K898" s="22"/>
    </row>
    <row r="899" spans="1:11" x14ac:dyDescent="0.2">
      <c r="A899" s="15">
        <v>893</v>
      </c>
      <c r="B899" s="20">
        <v>640810</v>
      </c>
      <c r="C899" s="21" t="s">
        <v>436</v>
      </c>
      <c r="D899" s="22"/>
      <c r="E899" s="22">
        <f t="shared" si="39"/>
        <v>0</v>
      </c>
      <c r="F899" s="22"/>
      <c r="G899" s="22"/>
      <c r="H899" s="22">
        <v>0</v>
      </c>
      <c r="I899" s="22">
        <f t="shared" si="40"/>
        <v>0</v>
      </c>
      <c r="J899" s="22">
        <f t="shared" si="41"/>
        <v>0</v>
      </c>
      <c r="K899" s="22"/>
    </row>
    <row r="900" spans="1:11" x14ac:dyDescent="0.2">
      <c r="A900" s="15">
        <v>894</v>
      </c>
      <c r="B900" s="20">
        <v>640815</v>
      </c>
      <c r="C900" s="21" t="s">
        <v>437</v>
      </c>
      <c r="D900" s="22"/>
      <c r="E900" s="22">
        <f t="shared" si="39"/>
        <v>0</v>
      </c>
      <c r="F900" s="22"/>
      <c r="G900" s="22"/>
      <c r="H900" s="22">
        <v>0</v>
      </c>
      <c r="I900" s="22">
        <f t="shared" si="40"/>
        <v>0</v>
      </c>
      <c r="J900" s="22">
        <f t="shared" si="41"/>
        <v>0</v>
      </c>
      <c r="K900" s="22"/>
    </row>
    <row r="901" spans="1:11" x14ac:dyDescent="0.2">
      <c r="A901" s="15">
        <v>895</v>
      </c>
      <c r="B901" s="20">
        <v>640820</v>
      </c>
      <c r="C901" s="21" t="s">
        <v>465</v>
      </c>
      <c r="D901" s="22"/>
      <c r="E901" s="22">
        <f t="shared" si="39"/>
        <v>0</v>
      </c>
      <c r="F901" s="22"/>
      <c r="G901" s="22"/>
      <c r="H901" s="22">
        <v>0</v>
      </c>
      <c r="I901" s="22">
        <f t="shared" si="40"/>
        <v>0</v>
      </c>
      <c r="J901" s="22">
        <f t="shared" si="41"/>
        <v>0</v>
      </c>
      <c r="K901" s="22"/>
    </row>
    <row r="902" spans="1:11" x14ac:dyDescent="0.2">
      <c r="A902" s="15">
        <v>896</v>
      </c>
      <c r="B902" s="20">
        <v>6409</v>
      </c>
      <c r="C902" s="21" t="s">
        <v>467</v>
      </c>
      <c r="D902" s="22"/>
      <c r="E902" s="22">
        <f t="shared" si="39"/>
        <v>0</v>
      </c>
      <c r="F902" s="22"/>
      <c r="G902" s="22"/>
      <c r="H902" s="22">
        <v>0</v>
      </c>
      <c r="I902" s="22">
        <f t="shared" si="40"/>
        <v>0</v>
      </c>
      <c r="J902" s="22">
        <f t="shared" si="41"/>
        <v>0</v>
      </c>
      <c r="K902" s="22"/>
    </row>
    <row r="903" spans="1:11" x14ac:dyDescent="0.2">
      <c r="A903" s="15">
        <v>897</v>
      </c>
      <c r="B903" s="20">
        <v>6410</v>
      </c>
      <c r="C903" s="21" t="s">
        <v>468</v>
      </c>
      <c r="D903" s="22"/>
      <c r="E903" s="22">
        <f t="shared" si="39"/>
        <v>0</v>
      </c>
      <c r="F903" s="22"/>
      <c r="G903" s="22"/>
      <c r="H903" s="22">
        <v>0</v>
      </c>
      <c r="I903" s="22">
        <f t="shared" si="40"/>
        <v>0</v>
      </c>
      <c r="J903" s="22">
        <f t="shared" si="41"/>
        <v>0</v>
      </c>
      <c r="K903" s="22"/>
    </row>
    <row r="904" spans="1:11" x14ac:dyDescent="0.2">
      <c r="A904" s="15">
        <v>898</v>
      </c>
      <c r="B904" s="20">
        <v>6411</v>
      </c>
      <c r="C904" s="21" t="s">
        <v>442</v>
      </c>
      <c r="D904" s="22"/>
      <c r="E904" s="22">
        <f t="shared" si="39"/>
        <v>0</v>
      </c>
      <c r="F904" s="22"/>
      <c r="G904" s="22"/>
      <c r="H904" s="22">
        <v>0</v>
      </c>
      <c r="I904" s="22">
        <f t="shared" si="40"/>
        <v>0</v>
      </c>
      <c r="J904" s="22">
        <f t="shared" si="41"/>
        <v>0</v>
      </c>
      <c r="K904" s="22"/>
    </row>
    <row r="905" spans="1:11" x14ac:dyDescent="0.2">
      <c r="A905" s="15">
        <v>899</v>
      </c>
      <c r="B905" s="20">
        <v>6490</v>
      </c>
      <c r="C905" s="21" t="s">
        <v>469</v>
      </c>
      <c r="D905" s="22"/>
      <c r="E905" s="22">
        <f t="shared" si="39"/>
        <v>0</v>
      </c>
      <c r="F905" s="22"/>
      <c r="G905" s="22"/>
      <c r="H905" s="22">
        <v>0</v>
      </c>
      <c r="I905" s="22">
        <f t="shared" si="40"/>
        <v>0</v>
      </c>
      <c r="J905" s="22">
        <f t="shared" si="41"/>
        <v>0</v>
      </c>
      <c r="K905" s="22"/>
    </row>
    <row r="906" spans="1:11" x14ac:dyDescent="0.2">
      <c r="A906" s="15">
        <v>900</v>
      </c>
      <c r="B906" s="20"/>
      <c r="C906" s="21"/>
      <c r="D906" s="22"/>
      <c r="E906" s="22">
        <f t="shared" ref="E906:E969" si="42">+D906</f>
        <v>0</v>
      </c>
      <c r="F906" s="22"/>
      <c r="G906" s="22"/>
      <c r="H906" s="22"/>
      <c r="I906" s="22">
        <f t="shared" ref="I906:I969" si="43">+SUM(F906:H906)</f>
        <v>0</v>
      </c>
      <c r="J906" s="22">
        <f t="shared" ref="J906:J969" si="44">+E906+I906</f>
        <v>0</v>
      </c>
      <c r="K906" s="22"/>
    </row>
    <row r="907" spans="1:11" ht="15" x14ac:dyDescent="0.25">
      <c r="A907" s="15">
        <v>901</v>
      </c>
      <c r="B907" s="23">
        <v>7</v>
      </c>
      <c r="C907" s="24" t="s">
        <v>470</v>
      </c>
      <c r="D907" s="22">
        <v>932975.91813999997</v>
      </c>
      <c r="E907" s="22">
        <f t="shared" si="42"/>
        <v>932975.91813999997</v>
      </c>
      <c r="F907" s="22">
        <v>685626.94169000001</v>
      </c>
      <c r="G907" s="22">
        <v>4776244.6157200001</v>
      </c>
      <c r="H907" s="22">
        <v>12187248.483890001</v>
      </c>
      <c r="I907" s="22">
        <f t="shared" si="43"/>
        <v>17649120.041299999</v>
      </c>
      <c r="J907" s="22">
        <f t="shared" si="44"/>
        <v>18582095.95944</v>
      </c>
      <c r="K907" s="22">
        <v>60065.430670000002</v>
      </c>
    </row>
    <row r="908" spans="1:11" ht="15" x14ac:dyDescent="0.25">
      <c r="A908" s="15">
        <v>902</v>
      </c>
      <c r="B908" s="23">
        <v>71</v>
      </c>
      <c r="C908" s="24" t="s">
        <v>471</v>
      </c>
      <c r="D908" s="22">
        <v>53627.320310000003</v>
      </c>
      <c r="E908" s="22">
        <f t="shared" si="42"/>
        <v>53627.320310000003</v>
      </c>
      <c r="F908" s="22">
        <v>345901.09976000001</v>
      </c>
      <c r="G908" s="22">
        <v>566366.32099000004</v>
      </c>
      <c r="H908" s="22">
        <v>1261695.8002599999</v>
      </c>
      <c r="I908" s="22">
        <f t="shared" si="43"/>
        <v>2173963.22101</v>
      </c>
      <c r="J908" s="22">
        <f t="shared" si="44"/>
        <v>2227590.5413199998</v>
      </c>
      <c r="K908" s="22">
        <v>25803.58654</v>
      </c>
    </row>
    <row r="909" spans="1:11" x14ac:dyDescent="0.2">
      <c r="A909" s="15">
        <v>903</v>
      </c>
      <c r="B909" s="20">
        <v>7101</v>
      </c>
      <c r="C909" s="21" t="s">
        <v>472</v>
      </c>
      <c r="D909" s="22">
        <v>2181.4140400000001</v>
      </c>
      <c r="E909" s="22">
        <f t="shared" si="42"/>
        <v>2181.4140400000001</v>
      </c>
      <c r="F909" s="22">
        <v>0</v>
      </c>
      <c r="G909" s="22">
        <v>334308.64666999999</v>
      </c>
      <c r="H909" s="22">
        <v>12485</v>
      </c>
      <c r="I909" s="22">
        <f t="shared" si="43"/>
        <v>346793.64666999999</v>
      </c>
      <c r="J909" s="22">
        <f t="shared" si="44"/>
        <v>348975.06070999999</v>
      </c>
      <c r="K909" s="22">
        <v>0</v>
      </c>
    </row>
    <row r="910" spans="1:11" x14ac:dyDescent="0.2">
      <c r="A910" s="15">
        <v>904</v>
      </c>
      <c r="B910" s="20">
        <v>710105</v>
      </c>
      <c r="C910" s="21" t="s">
        <v>473</v>
      </c>
      <c r="D910" s="22">
        <v>0</v>
      </c>
      <c r="E910" s="22">
        <f t="shared" si="42"/>
        <v>0</v>
      </c>
      <c r="F910" s="22">
        <v>0</v>
      </c>
      <c r="G910" s="22">
        <v>569.58986000000004</v>
      </c>
      <c r="H910" s="22">
        <v>0</v>
      </c>
      <c r="I910" s="22">
        <f t="shared" si="43"/>
        <v>569.58986000000004</v>
      </c>
      <c r="J910" s="22">
        <f t="shared" si="44"/>
        <v>569.58986000000004</v>
      </c>
      <c r="K910" s="22">
        <v>0</v>
      </c>
    </row>
    <row r="911" spans="1:11" x14ac:dyDescent="0.2">
      <c r="A911" s="15">
        <v>905</v>
      </c>
      <c r="B911" s="20">
        <v>710110</v>
      </c>
      <c r="C911" s="21" t="s">
        <v>474</v>
      </c>
      <c r="D911" s="22"/>
      <c r="E911" s="22">
        <f t="shared" si="42"/>
        <v>0</v>
      </c>
      <c r="F911" s="22"/>
      <c r="G911" s="22">
        <v>297957.11494</v>
      </c>
      <c r="H911" s="22">
        <v>12485</v>
      </c>
      <c r="I911" s="22">
        <f t="shared" si="43"/>
        <v>310442.11494</v>
      </c>
      <c r="J911" s="22">
        <f t="shared" si="44"/>
        <v>310442.11494</v>
      </c>
      <c r="K911" s="22"/>
    </row>
    <row r="912" spans="1:11" x14ac:dyDescent="0.2">
      <c r="A912" s="15">
        <v>906</v>
      </c>
      <c r="B912" s="20">
        <v>710115</v>
      </c>
      <c r="C912" s="21" t="s">
        <v>475</v>
      </c>
      <c r="D912" s="22"/>
      <c r="E912" s="22">
        <f t="shared" si="42"/>
        <v>0</v>
      </c>
      <c r="F912" s="22"/>
      <c r="G912" s="22"/>
      <c r="H912" s="22"/>
      <c r="I912" s="22">
        <f t="shared" si="43"/>
        <v>0</v>
      </c>
      <c r="J912" s="22">
        <f t="shared" si="44"/>
        <v>0</v>
      </c>
      <c r="K912" s="22"/>
    </row>
    <row r="913" spans="1:11" x14ac:dyDescent="0.2">
      <c r="A913" s="15">
        <v>907</v>
      </c>
      <c r="B913" s="20">
        <v>710120</v>
      </c>
      <c r="C913" s="21" t="s">
        <v>476</v>
      </c>
      <c r="D913" s="22"/>
      <c r="E913" s="22">
        <f t="shared" si="42"/>
        <v>0</v>
      </c>
      <c r="F913" s="22"/>
      <c r="G913" s="22">
        <v>0</v>
      </c>
      <c r="H913" s="22">
        <v>0</v>
      </c>
      <c r="I913" s="22">
        <f t="shared" si="43"/>
        <v>0</v>
      </c>
      <c r="J913" s="22">
        <f t="shared" si="44"/>
        <v>0</v>
      </c>
      <c r="K913" s="22"/>
    </row>
    <row r="914" spans="1:11" x14ac:dyDescent="0.2">
      <c r="A914" s="15">
        <v>908</v>
      </c>
      <c r="B914" s="20">
        <v>710125</v>
      </c>
      <c r="C914" s="21" t="s">
        <v>477</v>
      </c>
      <c r="D914" s="22">
        <v>2163.7214600000002</v>
      </c>
      <c r="E914" s="22">
        <f t="shared" si="42"/>
        <v>2163.7214600000002</v>
      </c>
      <c r="F914" s="22"/>
      <c r="G914" s="22"/>
      <c r="H914" s="22">
        <v>0</v>
      </c>
      <c r="I914" s="22">
        <f t="shared" si="43"/>
        <v>0</v>
      </c>
      <c r="J914" s="22">
        <f t="shared" si="44"/>
        <v>2163.7214600000002</v>
      </c>
      <c r="K914" s="22"/>
    </row>
    <row r="915" spans="1:11" x14ac:dyDescent="0.2">
      <c r="A915" s="15">
        <v>909</v>
      </c>
      <c r="B915" s="20">
        <v>710190</v>
      </c>
      <c r="C915" s="21" t="s">
        <v>58</v>
      </c>
      <c r="D915" s="22">
        <v>17.69258</v>
      </c>
      <c r="E915" s="22">
        <f t="shared" si="42"/>
        <v>17.69258</v>
      </c>
      <c r="F915" s="22">
        <v>0</v>
      </c>
      <c r="G915" s="22">
        <v>35781.941870000002</v>
      </c>
      <c r="H915" s="22">
        <v>0</v>
      </c>
      <c r="I915" s="22">
        <f t="shared" si="43"/>
        <v>35781.941870000002</v>
      </c>
      <c r="J915" s="22">
        <f t="shared" si="44"/>
        <v>35799.634450000005</v>
      </c>
      <c r="K915" s="22">
        <v>0</v>
      </c>
    </row>
    <row r="916" spans="1:11" x14ac:dyDescent="0.2">
      <c r="A916" s="15">
        <v>910</v>
      </c>
      <c r="B916" s="20">
        <v>7102</v>
      </c>
      <c r="C916" s="21" t="s">
        <v>478</v>
      </c>
      <c r="D916" s="22">
        <v>0</v>
      </c>
      <c r="E916" s="22">
        <f t="shared" si="42"/>
        <v>0</v>
      </c>
      <c r="F916" s="22">
        <v>0</v>
      </c>
      <c r="G916" s="22">
        <v>20546.375400000001</v>
      </c>
      <c r="H916" s="22">
        <v>23366.401379999999</v>
      </c>
      <c r="I916" s="22">
        <f t="shared" si="43"/>
        <v>43912.77678</v>
      </c>
      <c r="J916" s="22">
        <f t="shared" si="44"/>
        <v>43912.77678</v>
      </c>
      <c r="K916" s="22">
        <v>0</v>
      </c>
    </row>
    <row r="917" spans="1:11" x14ac:dyDescent="0.2">
      <c r="A917" s="15">
        <v>911</v>
      </c>
      <c r="B917" s="20">
        <v>710205</v>
      </c>
      <c r="C917" s="21" t="s">
        <v>479</v>
      </c>
      <c r="D917" s="22">
        <v>0</v>
      </c>
      <c r="E917" s="22">
        <f t="shared" si="42"/>
        <v>0</v>
      </c>
      <c r="F917" s="22">
        <v>0</v>
      </c>
      <c r="G917" s="22">
        <v>0</v>
      </c>
      <c r="H917" s="22">
        <v>21360.290379999999</v>
      </c>
      <c r="I917" s="22">
        <f t="shared" si="43"/>
        <v>21360.290379999999</v>
      </c>
      <c r="J917" s="22">
        <f t="shared" si="44"/>
        <v>21360.290379999999</v>
      </c>
      <c r="K917" s="22">
        <v>0</v>
      </c>
    </row>
    <row r="918" spans="1:11" x14ac:dyDescent="0.2">
      <c r="A918" s="15">
        <v>912</v>
      </c>
      <c r="B918" s="20">
        <v>710210</v>
      </c>
      <c r="C918" s="21" t="s">
        <v>480</v>
      </c>
      <c r="D918" s="22">
        <v>0</v>
      </c>
      <c r="E918" s="22">
        <f t="shared" si="42"/>
        <v>0</v>
      </c>
      <c r="F918" s="22">
        <v>0</v>
      </c>
      <c r="G918" s="22">
        <v>0</v>
      </c>
      <c r="H918" s="22">
        <v>0</v>
      </c>
      <c r="I918" s="22">
        <f t="shared" si="43"/>
        <v>0</v>
      </c>
      <c r="J918" s="22">
        <f t="shared" si="44"/>
        <v>0</v>
      </c>
      <c r="K918" s="22">
        <v>0</v>
      </c>
    </row>
    <row r="919" spans="1:11" x14ac:dyDescent="0.2">
      <c r="A919" s="15">
        <v>913</v>
      </c>
      <c r="B919" s="20">
        <v>710215</v>
      </c>
      <c r="C919" s="21" t="s">
        <v>481</v>
      </c>
      <c r="D919" s="22">
        <v>0</v>
      </c>
      <c r="E919" s="22">
        <f t="shared" si="42"/>
        <v>0</v>
      </c>
      <c r="F919" s="22">
        <v>0</v>
      </c>
      <c r="G919" s="22">
        <v>0</v>
      </c>
      <c r="H919" s="22">
        <v>0</v>
      </c>
      <c r="I919" s="22">
        <f t="shared" si="43"/>
        <v>0</v>
      </c>
      <c r="J919" s="22">
        <f t="shared" si="44"/>
        <v>0</v>
      </c>
      <c r="K919" s="22">
        <v>0</v>
      </c>
    </row>
    <row r="920" spans="1:11" x14ac:dyDescent="0.2">
      <c r="A920" s="15">
        <v>914</v>
      </c>
      <c r="B920" s="20">
        <v>710220</v>
      </c>
      <c r="C920" s="21" t="s">
        <v>482</v>
      </c>
      <c r="D920" s="22">
        <v>0</v>
      </c>
      <c r="E920" s="22">
        <f t="shared" si="42"/>
        <v>0</v>
      </c>
      <c r="F920" s="22">
        <v>0</v>
      </c>
      <c r="G920" s="22">
        <v>0</v>
      </c>
      <c r="H920" s="22">
        <v>0</v>
      </c>
      <c r="I920" s="22">
        <f t="shared" si="43"/>
        <v>0</v>
      </c>
      <c r="J920" s="22">
        <f t="shared" si="44"/>
        <v>0</v>
      </c>
      <c r="K920" s="22">
        <v>0</v>
      </c>
    </row>
    <row r="921" spans="1:11" x14ac:dyDescent="0.2">
      <c r="A921" s="15">
        <v>915</v>
      </c>
      <c r="B921" s="20">
        <v>710225</v>
      </c>
      <c r="C921" s="21" t="s">
        <v>483</v>
      </c>
      <c r="D921" s="22">
        <v>0</v>
      </c>
      <c r="E921" s="22">
        <f t="shared" si="42"/>
        <v>0</v>
      </c>
      <c r="F921" s="22"/>
      <c r="G921" s="22">
        <v>0</v>
      </c>
      <c r="H921" s="22">
        <v>0</v>
      </c>
      <c r="I921" s="22">
        <f t="shared" si="43"/>
        <v>0</v>
      </c>
      <c r="J921" s="22">
        <f t="shared" si="44"/>
        <v>0</v>
      </c>
      <c r="K921" s="22"/>
    </row>
    <row r="922" spans="1:11" x14ac:dyDescent="0.2">
      <c r="A922" s="15">
        <v>916</v>
      </c>
      <c r="B922" s="20">
        <v>710230</v>
      </c>
      <c r="C922" s="21" t="s">
        <v>484</v>
      </c>
      <c r="D922" s="22">
        <v>0</v>
      </c>
      <c r="E922" s="22">
        <f t="shared" si="42"/>
        <v>0</v>
      </c>
      <c r="F922" s="22">
        <v>0</v>
      </c>
      <c r="G922" s="22">
        <v>0</v>
      </c>
      <c r="H922" s="22">
        <v>0</v>
      </c>
      <c r="I922" s="22">
        <f t="shared" si="43"/>
        <v>0</v>
      </c>
      <c r="J922" s="22">
        <f t="shared" si="44"/>
        <v>0</v>
      </c>
      <c r="K922" s="22"/>
    </row>
    <row r="923" spans="1:11" x14ac:dyDescent="0.2">
      <c r="A923" s="15">
        <v>917</v>
      </c>
      <c r="B923" s="20">
        <v>710235</v>
      </c>
      <c r="C923" s="21" t="s">
        <v>485</v>
      </c>
      <c r="D923" s="22">
        <v>0</v>
      </c>
      <c r="E923" s="22">
        <f t="shared" si="42"/>
        <v>0</v>
      </c>
      <c r="F923" s="22"/>
      <c r="G923" s="22"/>
      <c r="H923" s="22"/>
      <c r="I923" s="22">
        <f t="shared" si="43"/>
        <v>0</v>
      </c>
      <c r="J923" s="22">
        <f t="shared" si="44"/>
        <v>0</v>
      </c>
      <c r="K923" s="22"/>
    </row>
    <row r="924" spans="1:11" x14ac:dyDescent="0.2">
      <c r="A924" s="15">
        <v>918</v>
      </c>
      <c r="B924" s="20">
        <v>710240</v>
      </c>
      <c r="C924" s="21" t="s">
        <v>486</v>
      </c>
      <c r="D924" s="22"/>
      <c r="E924" s="22">
        <f t="shared" si="42"/>
        <v>0</v>
      </c>
      <c r="F924" s="22"/>
      <c r="G924" s="22">
        <v>0</v>
      </c>
      <c r="H924" s="22">
        <v>0</v>
      </c>
      <c r="I924" s="22">
        <f t="shared" si="43"/>
        <v>0</v>
      </c>
      <c r="J924" s="22">
        <f t="shared" si="44"/>
        <v>0</v>
      </c>
      <c r="K924" s="22"/>
    </row>
    <row r="925" spans="1:11" x14ac:dyDescent="0.2">
      <c r="A925" s="15">
        <v>919</v>
      </c>
      <c r="B925" s="20">
        <v>710245</v>
      </c>
      <c r="C925" s="21" t="s">
        <v>148</v>
      </c>
      <c r="D925" s="22"/>
      <c r="E925" s="22">
        <f t="shared" si="42"/>
        <v>0</v>
      </c>
      <c r="F925" s="22"/>
      <c r="G925" s="22"/>
      <c r="H925" s="22"/>
      <c r="I925" s="22">
        <f t="shared" si="43"/>
        <v>0</v>
      </c>
      <c r="J925" s="22">
        <f t="shared" si="44"/>
        <v>0</v>
      </c>
      <c r="K925" s="22">
        <v>0</v>
      </c>
    </row>
    <row r="926" spans="1:11" x14ac:dyDescent="0.2">
      <c r="A926" s="15">
        <v>920</v>
      </c>
      <c r="B926" s="20">
        <v>710250</v>
      </c>
      <c r="C926" s="21" t="s">
        <v>149</v>
      </c>
      <c r="D926" s="22"/>
      <c r="E926" s="22">
        <f t="shared" si="42"/>
        <v>0</v>
      </c>
      <c r="F926" s="22">
        <v>0</v>
      </c>
      <c r="G926" s="22"/>
      <c r="H926" s="22"/>
      <c r="I926" s="22">
        <f t="shared" si="43"/>
        <v>0</v>
      </c>
      <c r="J926" s="22">
        <f t="shared" si="44"/>
        <v>0</v>
      </c>
      <c r="K926" s="22"/>
    </row>
    <row r="927" spans="1:11" x14ac:dyDescent="0.2">
      <c r="A927" s="15">
        <v>921</v>
      </c>
      <c r="B927" s="20">
        <v>710265</v>
      </c>
      <c r="C927" s="21" t="s">
        <v>487</v>
      </c>
      <c r="D927" s="22">
        <v>0</v>
      </c>
      <c r="E927" s="22">
        <f t="shared" si="42"/>
        <v>0</v>
      </c>
      <c r="F927" s="22">
        <v>0</v>
      </c>
      <c r="G927" s="22">
        <v>0</v>
      </c>
      <c r="H927" s="22">
        <v>0</v>
      </c>
      <c r="I927" s="22">
        <f t="shared" si="43"/>
        <v>0</v>
      </c>
      <c r="J927" s="22">
        <f t="shared" si="44"/>
        <v>0</v>
      </c>
      <c r="K927" s="22">
        <v>0</v>
      </c>
    </row>
    <row r="928" spans="1:11" x14ac:dyDescent="0.2">
      <c r="A928" s="15">
        <v>922</v>
      </c>
      <c r="B928" s="20">
        <v>710270</v>
      </c>
      <c r="C928" s="21" t="s">
        <v>488</v>
      </c>
      <c r="D928" s="22">
        <v>0</v>
      </c>
      <c r="E928" s="22">
        <f t="shared" si="42"/>
        <v>0</v>
      </c>
      <c r="F928" s="22">
        <v>0</v>
      </c>
      <c r="G928" s="22">
        <v>0</v>
      </c>
      <c r="H928" s="22">
        <v>0</v>
      </c>
      <c r="I928" s="22">
        <f t="shared" si="43"/>
        <v>0</v>
      </c>
      <c r="J928" s="22">
        <f t="shared" si="44"/>
        <v>0</v>
      </c>
      <c r="K928" s="22">
        <v>0</v>
      </c>
    </row>
    <row r="929" spans="1:11" x14ac:dyDescent="0.2">
      <c r="A929" s="15">
        <v>923</v>
      </c>
      <c r="B929" s="20">
        <v>710275</v>
      </c>
      <c r="C929" s="21" t="s">
        <v>489</v>
      </c>
      <c r="D929" s="22">
        <v>0</v>
      </c>
      <c r="E929" s="22">
        <f t="shared" si="42"/>
        <v>0</v>
      </c>
      <c r="F929" s="22">
        <v>0</v>
      </c>
      <c r="G929" s="22">
        <v>0</v>
      </c>
      <c r="H929" s="22">
        <v>0</v>
      </c>
      <c r="I929" s="22">
        <f t="shared" si="43"/>
        <v>0</v>
      </c>
      <c r="J929" s="22">
        <f t="shared" si="44"/>
        <v>0</v>
      </c>
      <c r="K929" s="22">
        <v>0</v>
      </c>
    </row>
    <row r="930" spans="1:11" x14ac:dyDescent="0.2">
      <c r="A930" s="15">
        <v>924</v>
      </c>
      <c r="B930" s="20">
        <v>710280</v>
      </c>
      <c r="C930" s="21" t="s">
        <v>490</v>
      </c>
      <c r="D930" s="22">
        <v>0</v>
      </c>
      <c r="E930" s="22">
        <f t="shared" si="42"/>
        <v>0</v>
      </c>
      <c r="F930" s="22">
        <v>0</v>
      </c>
      <c r="G930" s="22">
        <v>12</v>
      </c>
      <c r="H930" s="22">
        <v>0</v>
      </c>
      <c r="I930" s="22">
        <f t="shared" si="43"/>
        <v>12</v>
      </c>
      <c r="J930" s="22">
        <f t="shared" si="44"/>
        <v>12</v>
      </c>
      <c r="K930" s="22">
        <v>0</v>
      </c>
    </row>
    <row r="931" spans="1:11" x14ac:dyDescent="0.2">
      <c r="A931" s="15">
        <v>925</v>
      </c>
      <c r="B931" s="20">
        <v>710290</v>
      </c>
      <c r="C931" s="21" t="s">
        <v>491</v>
      </c>
      <c r="D931" s="22">
        <v>0</v>
      </c>
      <c r="E931" s="22">
        <f t="shared" si="42"/>
        <v>0</v>
      </c>
      <c r="F931" s="22">
        <v>0</v>
      </c>
      <c r="G931" s="22">
        <v>20534.375400000001</v>
      </c>
      <c r="H931" s="22">
        <v>2006.1110000000001</v>
      </c>
      <c r="I931" s="22">
        <f t="shared" si="43"/>
        <v>22540.486400000002</v>
      </c>
      <c r="J931" s="22">
        <f t="shared" si="44"/>
        <v>22540.486400000002</v>
      </c>
      <c r="K931" s="22">
        <v>0</v>
      </c>
    </row>
    <row r="932" spans="1:11" x14ac:dyDescent="0.2">
      <c r="A932" s="15">
        <v>926</v>
      </c>
      <c r="B932" s="20">
        <v>7103</v>
      </c>
      <c r="C932" s="21" t="s">
        <v>492</v>
      </c>
      <c r="D932" s="22">
        <v>3025.3512300000002</v>
      </c>
      <c r="E932" s="22">
        <f t="shared" si="42"/>
        <v>3025.3512300000002</v>
      </c>
      <c r="F932" s="22">
        <v>5.93025</v>
      </c>
      <c r="G932" s="22">
        <v>67991.920289999995</v>
      </c>
      <c r="H932" s="22">
        <v>328016.00936999999</v>
      </c>
      <c r="I932" s="22">
        <f t="shared" si="43"/>
        <v>396013.85991</v>
      </c>
      <c r="J932" s="22">
        <f t="shared" si="44"/>
        <v>399039.21114000003</v>
      </c>
      <c r="K932" s="22">
        <v>2588.8809700000002</v>
      </c>
    </row>
    <row r="933" spans="1:11" x14ac:dyDescent="0.2">
      <c r="A933" s="15">
        <v>927</v>
      </c>
      <c r="B933" s="20">
        <v>710305</v>
      </c>
      <c r="C933" s="21" t="s">
        <v>245</v>
      </c>
      <c r="D933" s="22">
        <v>0</v>
      </c>
      <c r="E933" s="22">
        <f t="shared" si="42"/>
        <v>0</v>
      </c>
      <c r="F933" s="22">
        <v>0</v>
      </c>
      <c r="G933" s="22">
        <v>6090.7685899999997</v>
      </c>
      <c r="H933" s="22">
        <v>0</v>
      </c>
      <c r="I933" s="22">
        <f t="shared" si="43"/>
        <v>6090.7685899999997</v>
      </c>
      <c r="J933" s="22">
        <f t="shared" si="44"/>
        <v>6090.7685899999997</v>
      </c>
      <c r="K933" s="22">
        <v>0</v>
      </c>
    </row>
    <row r="934" spans="1:11" x14ac:dyDescent="0.2">
      <c r="A934" s="15">
        <v>928</v>
      </c>
      <c r="B934" s="20">
        <v>710310</v>
      </c>
      <c r="C934" s="21" t="s">
        <v>154</v>
      </c>
      <c r="D934" s="22">
        <v>2057.53946</v>
      </c>
      <c r="E934" s="22">
        <f t="shared" si="42"/>
        <v>2057.53946</v>
      </c>
      <c r="F934" s="22">
        <v>0</v>
      </c>
      <c r="G934" s="22">
        <v>54059.886180000001</v>
      </c>
      <c r="H934" s="22">
        <v>245263.96474</v>
      </c>
      <c r="I934" s="22">
        <f t="shared" si="43"/>
        <v>299323.85092</v>
      </c>
      <c r="J934" s="22">
        <f t="shared" si="44"/>
        <v>301381.39038</v>
      </c>
      <c r="K934" s="22">
        <v>2557.30762</v>
      </c>
    </row>
    <row r="935" spans="1:11" x14ac:dyDescent="0.2">
      <c r="A935" s="15">
        <v>929</v>
      </c>
      <c r="B935" s="20">
        <v>710315</v>
      </c>
      <c r="C935" s="21" t="s">
        <v>155</v>
      </c>
      <c r="D935" s="22"/>
      <c r="E935" s="22">
        <f t="shared" si="42"/>
        <v>0</v>
      </c>
      <c r="F935" s="22"/>
      <c r="G935" s="22">
        <v>0</v>
      </c>
      <c r="H935" s="22">
        <v>0</v>
      </c>
      <c r="I935" s="22">
        <f t="shared" si="43"/>
        <v>0</v>
      </c>
      <c r="J935" s="22">
        <f t="shared" si="44"/>
        <v>0</v>
      </c>
      <c r="K935" s="22"/>
    </row>
    <row r="936" spans="1:11" x14ac:dyDescent="0.2">
      <c r="A936" s="15">
        <v>930</v>
      </c>
      <c r="B936" s="20">
        <v>710320</v>
      </c>
      <c r="C936" s="21" t="s">
        <v>255</v>
      </c>
      <c r="D936" s="22">
        <v>903.01800000000003</v>
      </c>
      <c r="E936" s="22">
        <f t="shared" si="42"/>
        <v>903.01800000000003</v>
      </c>
      <c r="F936" s="22">
        <v>5.93025</v>
      </c>
      <c r="G936" s="22">
        <v>7737.2224200000001</v>
      </c>
      <c r="H936" s="22">
        <v>80877.033710000003</v>
      </c>
      <c r="I936" s="22">
        <f t="shared" si="43"/>
        <v>88620.186379999999</v>
      </c>
      <c r="J936" s="22">
        <f t="shared" si="44"/>
        <v>89523.204379999996</v>
      </c>
      <c r="K936" s="22">
        <v>31.573350000000001</v>
      </c>
    </row>
    <row r="937" spans="1:11" x14ac:dyDescent="0.2">
      <c r="A937" s="15">
        <v>931</v>
      </c>
      <c r="B937" s="20">
        <v>710325</v>
      </c>
      <c r="C937" s="21" t="s">
        <v>493</v>
      </c>
      <c r="D937" s="22">
        <v>0</v>
      </c>
      <c r="E937" s="22">
        <f t="shared" si="42"/>
        <v>0</v>
      </c>
      <c r="F937" s="22">
        <v>0</v>
      </c>
      <c r="G937" s="22">
        <v>0</v>
      </c>
      <c r="H937" s="22">
        <v>1875.0109199999999</v>
      </c>
      <c r="I937" s="22">
        <f t="shared" si="43"/>
        <v>1875.0109199999999</v>
      </c>
      <c r="J937" s="22">
        <f t="shared" si="44"/>
        <v>1875.0109199999999</v>
      </c>
      <c r="K937" s="22">
        <v>0</v>
      </c>
    </row>
    <row r="938" spans="1:11" x14ac:dyDescent="0.2">
      <c r="A938" s="15">
        <v>932</v>
      </c>
      <c r="B938" s="20">
        <v>710330</v>
      </c>
      <c r="C938" s="21" t="s">
        <v>257</v>
      </c>
      <c r="D938" s="22">
        <v>64.793769999999995</v>
      </c>
      <c r="E938" s="22">
        <f t="shared" si="42"/>
        <v>64.793769999999995</v>
      </c>
      <c r="F938" s="22">
        <v>0</v>
      </c>
      <c r="G938" s="22">
        <v>104.0431</v>
      </c>
      <c r="H938" s="22">
        <v>0</v>
      </c>
      <c r="I938" s="22">
        <f t="shared" si="43"/>
        <v>104.0431</v>
      </c>
      <c r="J938" s="22">
        <f t="shared" si="44"/>
        <v>168.83686999999998</v>
      </c>
      <c r="K938" s="22">
        <v>0</v>
      </c>
    </row>
    <row r="939" spans="1:11" x14ac:dyDescent="0.2">
      <c r="A939" s="15">
        <v>933</v>
      </c>
      <c r="B939" s="20">
        <v>7104</v>
      </c>
      <c r="C939" s="21" t="s">
        <v>494</v>
      </c>
      <c r="D939" s="22">
        <v>0</v>
      </c>
      <c r="E939" s="22">
        <f t="shared" si="42"/>
        <v>0</v>
      </c>
      <c r="F939" s="22">
        <v>0</v>
      </c>
      <c r="G939" s="22">
        <v>0</v>
      </c>
      <c r="H939" s="22">
        <v>1.43214</v>
      </c>
      <c r="I939" s="22">
        <f t="shared" si="43"/>
        <v>1.43214</v>
      </c>
      <c r="J939" s="22">
        <f t="shared" si="44"/>
        <v>1.43214</v>
      </c>
      <c r="K939" s="22">
        <v>0</v>
      </c>
    </row>
    <row r="940" spans="1:11" x14ac:dyDescent="0.2">
      <c r="A940" s="15">
        <v>934</v>
      </c>
      <c r="B940" s="20">
        <v>710405</v>
      </c>
      <c r="C940" s="21" t="s">
        <v>27</v>
      </c>
      <c r="D940" s="22">
        <v>0</v>
      </c>
      <c r="E940" s="22">
        <f t="shared" si="42"/>
        <v>0</v>
      </c>
      <c r="F940" s="22">
        <v>0</v>
      </c>
      <c r="G940" s="22">
        <v>0</v>
      </c>
      <c r="H940" s="22">
        <v>0</v>
      </c>
      <c r="I940" s="22">
        <f t="shared" si="43"/>
        <v>0</v>
      </c>
      <c r="J940" s="22">
        <f t="shared" si="44"/>
        <v>0</v>
      </c>
      <c r="K940" s="22">
        <v>0</v>
      </c>
    </row>
    <row r="941" spans="1:11" x14ac:dyDescent="0.2">
      <c r="A941" s="15">
        <v>935</v>
      </c>
      <c r="B941" s="20">
        <v>710410</v>
      </c>
      <c r="C941" s="21" t="s">
        <v>28</v>
      </c>
      <c r="D941" s="22">
        <v>0</v>
      </c>
      <c r="E941" s="22">
        <f t="shared" si="42"/>
        <v>0</v>
      </c>
      <c r="F941" s="22">
        <v>0</v>
      </c>
      <c r="G941" s="22">
        <v>0</v>
      </c>
      <c r="H941" s="22">
        <v>1.43214</v>
      </c>
      <c r="I941" s="22">
        <f t="shared" si="43"/>
        <v>1.43214</v>
      </c>
      <c r="J941" s="22">
        <f t="shared" si="44"/>
        <v>1.43214</v>
      </c>
      <c r="K941" s="22">
        <v>0</v>
      </c>
    </row>
    <row r="942" spans="1:11" x14ac:dyDescent="0.2">
      <c r="A942" s="15">
        <v>936</v>
      </c>
      <c r="B942" s="20">
        <v>7105</v>
      </c>
      <c r="C942" s="21" t="s">
        <v>495</v>
      </c>
      <c r="D942" s="22"/>
      <c r="E942" s="22">
        <f t="shared" si="42"/>
        <v>0</v>
      </c>
      <c r="F942" s="22"/>
      <c r="G942" s="22"/>
      <c r="H942" s="22"/>
      <c r="I942" s="22">
        <f t="shared" si="43"/>
        <v>0</v>
      </c>
      <c r="J942" s="22">
        <f t="shared" si="44"/>
        <v>0</v>
      </c>
      <c r="K942" s="22"/>
    </row>
    <row r="943" spans="1:11" x14ac:dyDescent="0.2">
      <c r="A943" s="15">
        <v>937</v>
      </c>
      <c r="B943" s="20">
        <v>710505</v>
      </c>
      <c r="C943" s="21" t="s">
        <v>245</v>
      </c>
      <c r="D943" s="22"/>
      <c r="E943" s="22">
        <f t="shared" si="42"/>
        <v>0</v>
      </c>
      <c r="F943" s="22"/>
      <c r="G943" s="22"/>
      <c r="H943" s="22"/>
      <c r="I943" s="22">
        <f t="shared" si="43"/>
        <v>0</v>
      </c>
      <c r="J943" s="22">
        <f t="shared" si="44"/>
        <v>0</v>
      </c>
      <c r="K943" s="22"/>
    </row>
    <row r="944" spans="1:11" x14ac:dyDescent="0.2">
      <c r="A944" s="15">
        <v>938</v>
      </c>
      <c r="B944" s="20">
        <v>710510</v>
      </c>
      <c r="C944" s="21" t="s">
        <v>154</v>
      </c>
      <c r="D944" s="22"/>
      <c r="E944" s="22">
        <f t="shared" si="42"/>
        <v>0</v>
      </c>
      <c r="F944" s="22"/>
      <c r="G944" s="22"/>
      <c r="H944" s="22"/>
      <c r="I944" s="22">
        <f t="shared" si="43"/>
        <v>0</v>
      </c>
      <c r="J944" s="22">
        <f t="shared" si="44"/>
        <v>0</v>
      </c>
      <c r="K944" s="22"/>
    </row>
    <row r="945" spans="1:11" x14ac:dyDescent="0.2">
      <c r="A945" s="15">
        <v>939</v>
      </c>
      <c r="B945" s="20">
        <v>710515</v>
      </c>
      <c r="C945" s="21" t="s">
        <v>155</v>
      </c>
      <c r="D945" s="22"/>
      <c r="E945" s="22">
        <f t="shared" si="42"/>
        <v>0</v>
      </c>
      <c r="F945" s="22"/>
      <c r="G945" s="22"/>
      <c r="H945" s="22"/>
      <c r="I945" s="22">
        <f t="shared" si="43"/>
        <v>0</v>
      </c>
      <c r="J945" s="22">
        <f t="shared" si="44"/>
        <v>0</v>
      </c>
      <c r="K945" s="22"/>
    </row>
    <row r="946" spans="1:11" x14ac:dyDescent="0.2">
      <c r="A946" s="15">
        <v>940</v>
      </c>
      <c r="B946" s="20">
        <v>710520</v>
      </c>
      <c r="C946" s="21" t="s">
        <v>255</v>
      </c>
      <c r="D946" s="22"/>
      <c r="E946" s="22">
        <f t="shared" si="42"/>
        <v>0</v>
      </c>
      <c r="F946" s="22"/>
      <c r="G946" s="22"/>
      <c r="H946" s="22"/>
      <c r="I946" s="22">
        <f t="shared" si="43"/>
        <v>0</v>
      </c>
      <c r="J946" s="22">
        <f t="shared" si="44"/>
        <v>0</v>
      </c>
      <c r="K946" s="22"/>
    </row>
    <row r="947" spans="1:11" x14ac:dyDescent="0.2">
      <c r="A947" s="15">
        <v>941</v>
      </c>
      <c r="B947" s="20">
        <v>710525</v>
      </c>
      <c r="C947" s="21" t="s">
        <v>493</v>
      </c>
      <c r="D947" s="22"/>
      <c r="E947" s="22">
        <f t="shared" si="42"/>
        <v>0</v>
      </c>
      <c r="F947" s="22"/>
      <c r="G947" s="22"/>
      <c r="H947" s="22"/>
      <c r="I947" s="22">
        <f t="shared" si="43"/>
        <v>0</v>
      </c>
      <c r="J947" s="22">
        <f t="shared" si="44"/>
        <v>0</v>
      </c>
      <c r="K947" s="22"/>
    </row>
    <row r="948" spans="1:11" x14ac:dyDescent="0.2">
      <c r="A948" s="15">
        <v>942</v>
      </c>
      <c r="B948" s="20">
        <v>710530</v>
      </c>
      <c r="C948" s="21" t="s">
        <v>257</v>
      </c>
      <c r="D948" s="22"/>
      <c r="E948" s="22">
        <f t="shared" si="42"/>
        <v>0</v>
      </c>
      <c r="F948" s="22"/>
      <c r="G948" s="22"/>
      <c r="H948" s="22"/>
      <c r="I948" s="22">
        <f t="shared" si="43"/>
        <v>0</v>
      </c>
      <c r="J948" s="22">
        <f t="shared" si="44"/>
        <v>0</v>
      </c>
      <c r="K948" s="22"/>
    </row>
    <row r="949" spans="1:11" x14ac:dyDescent="0.2">
      <c r="A949" s="15">
        <v>943</v>
      </c>
      <c r="B949" s="20">
        <v>710535</v>
      </c>
      <c r="C949" s="21" t="s">
        <v>156</v>
      </c>
      <c r="D949" s="22"/>
      <c r="E949" s="22">
        <f t="shared" si="42"/>
        <v>0</v>
      </c>
      <c r="F949" s="22"/>
      <c r="G949" s="22"/>
      <c r="H949" s="22"/>
      <c r="I949" s="22">
        <f t="shared" si="43"/>
        <v>0</v>
      </c>
      <c r="J949" s="22">
        <f t="shared" si="44"/>
        <v>0</v>
      </c>
      <c r="K949" s="22"/>
    </row>
    <row r="950" spans="1:11" x14ac:dyDescent="0.2">
      <c r="A950" s="15">
        <v>944</v>
      </c>
      <c r="B950" s="20">
        <v>7106</v>
      </c>
      <c r="C950" s="21" t="s">
        <v>496</v>
      </c>
      <c r="D950" s="22"/>
      <c r="E950" s="22">
        <f t="shared" si="42"/>
        <v>0</v>
      </c>
      <c r="F950" s="22"/>
      <c r="G950" s="22"/>
      <c r="H950" s="22"/>
      <c r="I950" s="22">
        <f t="shared" si="43"/>
        <v>0</v>
      </c>
      <c r="J950" s="22">
        <f t="shared" si="44"/>
        <v>0</v>
      </c>
      <c r="K950" s="22"/>
    </row>
    <row r="951" spans="1:11" x14ac:dyDescent="0.2">
      <c r="A951" s="15">
        <v>945</v>
      </c>
      <c r="B951" s="20">
        <v>710605</v>
      </c>
      <c r="C951" s="21" t="s">
        <v>245</v>
      </c>
      <c r="D951" s="22"/>
      <c r="E951" s="22">
        <f t="shared" si="42"/>
        <v>0</v>
      </c>
      <c r="F951" s="22"/>
      <c r="G951" s="22"/>
      <c r="H951" s="22"/>
      <c r="I951" s="22">
        <f t="shared" si="43"/>
        <v>0</v>
      </c>
      <c r="J951" s="22">
        <f t="shared" si="44"/>
        <v>0</v>
      </c>
      <c r="K951" s="22"/>
    </row>
    <row r="952" spans="1:11" x14ac:dyDescent="0.2">
      <c r="A952" s="15">
        <v>946</v>
      </c>
      <c r="B952" s="20">
        <v>710610</v>
      </c>
      <c r="C952" s="21" t="s">
        <v>154</v>
      </c>
      <c r="D952" s="22"/>
      <c r="E952" s="22">
        <f t="shared" si="42"/>
        <v>0</v>
      </c>
      <c r="F952" s="22"/>
      <c r="G952" s="22"/>
      <c r="H952" s="22"/>
      <c r="I952" s="22">
        <f t="shared" si="43"/>
        <v>0</v>
      </c>
      <c r="J952" s="22">
        <f t="shared" si="44"/>
        <v>0</v>
      </c>
      <c r="K952" s="22"/>
    </row>
    <row r="953" spans="1:11" x14ac:dyDescent="0.2">
      <c r="A953" s="15">
        <v>947</v>
      </c>
      <c r="B953" s="20">
        <v>710615</v>
      </c>
      <c r="C953" s="21" t="s">
        <v>155</v>
      </c>
      <c r="D953" s="22"/>
      <c r="E953" s="22">
        <f t="shared" si="42"/>
        <v>0</v>
      </c>
      <c r="F953" s="22"/>
      <c r="G953" s="22"/>
      <c r="H953" s="22"/>
      <c r="I953" s="22">
        <f t="shared" si="43"/>
        <v>0</v>
      </c>
      <c r="J953" s="22">
        <f t="shared" si="44"/>
        <v>0</v>
      </c>
      <c r="K953" s="22"/>
    </row>
    <row r="954" spans="1:11" x14ac:dyDescent="0.2">
      <c r="A954" s="15">
        <v>948</v>
      </c>
      <c r="B954" s="20">
        <v>710620</v>
      </c>
      <c r="C954" s="21" t="s">
        <v>255</v>
      </c>
      <c r="D954" s="22"/>
      <c r="E954" s="22">
        <f t="shared" si="42"/>
        <v>0</v>
      </c>
      <c r="F954" s="22"/>
      <c r="G954" s="22"/>
      <c r="H954" s="22"/>
      <c r="I954" s="22">
        <f t="shared" si="43"/>
        <v>0</v>
      </c>
      <c r="J954" s="22">
        <f t="shared" si="44"/>
        <v>0</v>
      </c>
      <c r="K954" s="22"/>
    </row>
    <row r="955" spans="1:11" x14ac:dyDescent="0.2">
      <c r="A955" s="15">
        <v>949</v>
      </c>
      <c r="B955" s="20">
        <v>710625</v>
      </c>
      <c r="C955" s="21" t="s">
        <v>493</v>
      </c>
      <c r="D955" s="22"/>
      <c r="E955" s="22">
        <f t="shared" si="42"/>
        <v>0</v>
      </c>
      <c r="F955" s="22"/>
      <c r="G955" s="22"/>
      <c r="H955" s="22"/>
      <c r="I955" s="22">
        <f t="shared" si="43"/>
        <v>0</v>
      </c>
      <c r="J955" s="22">
        <f t="shared" si="44"/>
        <v>0</v>
      </c>
      <c r="K955" s="22"/>
    </row>
    <row r="956" spans="1:11" x14ac:dyDescent="0.2">
      <c r="A956" s="15">
        <v>950</v>
      </c>
      <c r="B956" s="20">
        <v>710630</v>
      </c>
      <c r="C956" s="21" t="s">
        <v>257</v>
      </c>
      <c r="D956" s="22"/>
      <c r="E956" s="22">
        <f t="shared" si="42"/>
        <v>0</v>
      </c>
      <c r="F956" s="22"/>
      <c r="G956" s="22"/>
      <c r="H956" s="22"/>
      <c r="I956" s="22">
        <f t="shared" si="43"/>
        <v>0</v>
      </c>
      <c r="J956" s="22">
        <f t="shared" si="44"/>
        <v>0</v>
      </c>
      <c r="K956" s="22"/>
    </row>
    <row r="957" spans="1:11" x14ac:dyDescent="0.2">
      <c r="A957" s="15">
        <v>951</v>
      </c>
      <c r="B957" s="20">
        <v>710635</v>
      </c>
      <c r="C957" s="21" t="s">
        <v>156</v>
      </c>
      <c r="D957" s="22"/>
      <c r="E957" s="22">
        <f t="shared" si="42"/>
        <v>0</v>
      </c>
      <c r="F957" s="22"/>
      <c r="G957" s="22"/>
      <c r="H957" s="22"/>
      <c r="I957" s="22">
        <f t="shared" si="43"/>
        <v>0</v>
      </c>
      <c r="J957" s="22">
        <f t="shared" si="44"/>
        <v>0</v>
      </c>
      <c r="K957" s="22"/>
    </row>
    <row r="958" spans="1:11" x14ac:dyDescent="0.2">
      <c r="A958" s="15">
        <v>952</v>
      </c>
      <c r="B958" s="20">
        <v>7107</v>
      </c>
      <c r="C958" s="21" t="s">
        <v>497</v>
      </c>
      <c r="D958" s="22">
        <v>9171.3855299999996</v>
      </c>
      <c r="E958" s="22">
        <f t="shared" si="42"/>
        <v>9171.3855299999996</v>
      </c>
      <c r="F958" s="22">
        <v>72.766149999999996</v>
      </c>
      <c r="G958" s="22">
        <v>55082.779889999998</v>
      </c>
      <c r="H958" s="22">
        <v>39624.803180000003</v>
      </c>
      <c r="I958" s="22">
        <f t="shared" si="43"/>
        <v>94780.349220000004</v>
      </c>
      <c r="J958" s="22">
        <f t="shared" si="44"/>
        <v>103951.73475</v>
      </c>
      <c r="K958" s="22">
        <v>11704.37299</v>
      </c>
    </row>
    <row r="959" spans="1:11" x14ac:dyDescent="0.2">
      <c r="A959" s="15">
        <v>953</v>
      </c>
      <c r="B959" s="20">
        <v>710705</v>
      </c>
      <c r="C959" s="21" t="s">
        <v>498</v>
      </c>
      <c r="D959" s="22">
        <v>5933.2381500000001</v>
      </c>
      <c r="E959" s="22">
        <f t="shared" si="42"/>
        <v>5933.2381500000001</v>
      </c>
      <c r="F959" s="22"/>
      <c r="G959" s="22">
        <v>28964.934949999999</v>
      </c>
      <c r="H959" s="22">
        <v>39163.600579999998</v>
      </c>
      <c r="I959" s="22">
        <f t="shared" si="43"/>
        <v>68128.535529999994</v>
      </c>
      <c r="J959" s="22">
        <f t="shared" si="44"/>
        <v>74061.773679999998</v>
      </c>
      <c r="K959" s="22"/>
    </row>
    <row r="960" spans="1:11" x14ac:dyDescent="0.2">
      <c r="A960" s="15">
        <v>954</v>
      </c>
      <c r="B960" s="20">
        <v>710710</v>
      </c>
      <c r="C960" s="21" t="s">
        <v>499</v>
      </c>
      <c r="D960" s="22">
        <v>0</v>
      </c>
      <c r="E960" s="22">
        <f t="shared" si="42"/>
        <v>0</v>
      </c>
      <c r="F960" s="22">
        <v>0</v>
      </c>
      <c r="G960" s="22">
        <v>774.26287000000002</v>
      </c>
      <c r="H960" s="22">
        <v>0</v>
      </c>
      <c r="I960" s="22">
        <f t="shared" si="43"/>
        <v>774.26287000000002</v>
      </c>
      <c r="J960" s="22">
        <f t="shared" si="44"/>
        <v>774.26287000000002</v>
      </c>
      <c r="K960" s="22"/>
    </row>
    <row r="961" spans="1:11" x14ac:dyDescent="0.2">
      <c r="A961" s="15">
        <v>955</v>
      </c>
      <c r="B961" s="20">
        <v>710715</v>
      </c>
      <c r="C961" s="21" t="s">
        <v>500</v>
      </c>
      <c r="D961" s="22">
        <v>2944.7775000000001</v>
      </c>
      <c r="E961" s="22">
        <f t="shared" si="42"/>
        <v>2944.7775000000001</v>
      </c>
      <c r="F961" s="22"/>
      <c r="G961" s="22"/>
      <c r="H961" s="22"/>
      <c r="I961" s="22">
        <f t="shared" si="43"/>
        <v>0</v>
      </c>
      <c r="J961" s="22">
        <f t="shared" si="44"/>
        <v>2944.7775000000001</v>
      </c>
      <c r="K961" s="22"/>
    </row>
    <row r="962" spans="1:11" x14ac:dyDescent="0.2">
      <c r="A962" s="15">
        <v>956</v>
      </c>
      <c r="B962" s="20">
        <v>710720</v>
      </c>
      <c r="C962" s="21" t="s">
        <v>501</v>
      </c>
      <c r="D962" s="22"/>
      <c r="E962" s="22">
        <f t="shared" si="42"/>
        <v>0</v>
      </c>
      <c r="F962" s="22"/>
      <c r="G962" s="22">
        <v>14696.6165</v>
      </c>
      <c r="H962" s="22">
        <v>79.345550000000003</v>
      </c>
      <c r="I962" s="22">
        <f t="shared" si="43"/>
        <v>14775.96205</v>
      </c>
      <c r="J962" s="22">
        <f t="shared" si="44"/>
        <v>14775.96205</v>
      </c>
      <c r="K962" s="22"/>
    </row>
    <row r="963" spans="1:11" x14ac:dyDescent="0.2">
      <c r="A963" s="15">
        <v>957</v>
      </c>
      <c r="B963" s="20">
        <v>710725</v>
      </c>
      <c r="C963" s="21" t="s">
        <v>148</v>
      </c>
      <c r="D963" s="22"/>
      <c r="E963" s="22">
        <f t="shared" si="42"/>
        <v>0</v>
      </c>
      <c r="F963" s="22"/>
      <c r="G963" s="22"/>
      <c r="H963" s="22"/>
      <c r="I963" s="22">
        <f t="shared" si="43"/>
        <v>0</v>
      </c>
      <c r="J963" s="22">
        <f t="shared" si="44"/>
        <v>0</v>
      </c>
      <c r="K963" s="22">
        <v>11704.37299</v>
      </c>
    </row>
    <row r="964" spans="1:11" x14ac:dyDescent="0.2">
      <c r="A964" s="15">
        <v>958</v>
      </c>
      <c r="B964" s="20">
        <v>710730</v>
      </c>
      <c r="C964" s="21" t="s">
        <v>149</v>
      </c>
      <c r="D964" s="22"/>
      <c r="E964" s="22">
        <f t="shared" si="42"/>
        <v>0</v>
      </c>
      <c r="F964" s="22">
        <v>0</v>
      </c>
      <c r="G964" s="22"/>
      <c r="H964" s="22"/>
      <c r="I964" s="22">
        <f t="shared" si="43"/>
        <v>0</v>
      </c>
      <c r="J964" s="22">
        <f t="shared" si="44"/>
        <v>0</v>
      </c>
      <c r="K964" s="22"/>
    </row>
    <row r="965" spans="1:11" x14ac:dyDescent="0.2">
      <c r="A965" s="15">
        <v>959</v>
      </c>
      <c r="B965" s="20">
        <v>710745</v>
      </c>
      <c r="C965" s="21" t="s">
        <v>502</v>
      </c>
      <c r="D965" s="22">
        <v>0</v>
      </c>
      <c r="E965" s="22">
        <f t="shared" si="42"/>
        <v>0</v>
      </c>
      <c r="F965" s="22">
        <v>0</v>
      </c>
      <c r="G965" s="22">
        <v>0</v>
      </c>
      <c r="H965" s="22">
        <v>0</v>
      </c>
      <c r="I965" s="22">
        <f t="shared" si="43"/>
        <v>0</v>
      </c>
      <c r="J965" s="22">
        <f t="shared" si="44"/>
        <v>0</v>
      </c>
      <c r="K965" s="22"/>
    </row>
    <row r="966" spans="1:11" x14ac:dyDescent="0.2">
      <c r="A966" s="15">
        <v>960</v>
      </c>
      <c r="B966" s="20">
        <v>710750</v>
      </c>
      <c r="C966" s="21" t="s">
        <v>503</v>
      </c>
      <c r="D966" s="22">
        <v>0</v>
      </c>
      <c r="E966" s="22">
        <f t="shared" si="42"/>
        <v>0</v>
      </c>
      <c r="F966" s="22">
        <v>0</v>
      </c>
      <c r="G966" s="22">
        <v>10646.96557</v>
      </c>
      <c r="H966" s="22">
        <v>381.85705000000002</v>
      </c>
      <c r="I966" s="22">
        <f t="shared" si="43"/>
        <v>11028.822620000001</v>
      </c>
      <c r="J966" s="22">
        <f t="shared" si="44"/>
        <v>11028.822620000001</v>
      </c>
      <c r="K966" s="22">
        <v>0</v>
      </c>
    </row>
    <row r="967" spans="1:11" x14ac:dyDescent="0.2">
      <c r="A967" s="15">
        <v>961</v>
      </c>
      <c r="B967" s="20">
        <v>710755</v>
      </c>
      <c r="C967" s="21" t="s">
        <v>245</v>
      </c>
      <c r="D967" s="22">
        <v>0</v>
      </c>
      <c r="E967" s="22">
        <f t="shared" si="42"/>
        <v>0</v>
      </c>
      <c r="F967" s="22">
        <v>0</v>
      </c>
      <c r="G967" s="22">
        <v>0</v>
      </c>
      <c r="H967" s="22">
        <v>0</v>
      </c>
      <c r="I967" s="22">
        <f t="shared" si="43"/>
        <v>0</v>
      </c>
      <c r="J967" s="22">
        <f t="shared" si="44"/>
        <v>0</v>
      </c>
      <c r="K967" s="22">
        <v>0</v>
      </c>
    </row>
    <row r="968" spans="1:11" x14ac:dyDescent="0.2">
      <c r="A968" s="15">
        <v>962</v>
      </c>
      <c r="B968" s="20">
        <v>710760</v>
      </c>
      <c r="C968" s="21" t="s">
        <v>255</v>
      </c>
      <c r="D968" s="22">
        <v>293.36988000000002</v>
      </c>
      <c r="E968" s="22">
        <f t="shared" si="42"/>
        <v>293.36988000000002</v>
      </c>
      <c r="F968" s="22">
        <v>72.766149999999996</v>
      </c>
      <c r="G968" s="22">
        <v>0</v>
      </c>
      <c r="H968" s="22">
        <v>0</v>
      </c>
      <c r="I968" s="22">
        <f t="shared" si="43"/>
        <v>72.766149999999996</v>
      </c>
      <c r="J968" s="22">
        <f t="shared" si="44"/>
        <v>366.13603000000001</v>
      </c>
      <c r="K968" s="22">
        <v>0</v>
      </c>
    </row>
    <row r="969" spans="1:11" x14ac:dyDescent="0.2">
      <c r="A969" s="15">
        <v>963</v>
      </c>
      <c r="B969" s="20">
        <v>710790</v>
      </c>
      <c r="C969" s="21" t="s">
        <v>257</v>
      </c>
      <c r="D969" s="22">
        <v>0</v>
      </c>
      <c r="E969" s="22">
        <f t="shared" si="42"/>
        <v>0</v>
      </c>
      <c r="F969" s="22">
        <v>0</v>
      </c>
      <c r="G969" s="22">
        <v>0</v>
      </c>
      <c r="H969" s="22">
        <v>0</v>
      </c>
      <c r="I969" s="22">
        <f t="shared" si="43"/>
        <v>0</v>
      </c>
      <c r="J969" s="22">
        <f t="shared" si="44"/>
        <v>0</v>
      </c>
      <c r="K969" s="22">
        <v>0</v>
      </c>
    </row>
    <row r="970" spans="1:11" x14ac:dyDescent="0.2">
      <c r="A970" s="15">
        <v>964</v>
      </c>
      <c r="B970" s="20">
        <v>7109</v>
      </c>
      <c r="C970" s="21" t="s">
        <v>504</v>
      </c>
      <c r="D970" s="22">
        <v>1343.43922</v>
      </c>
      <c r="E970" s="22">
        <f t="shared" ref="E970:E1033" si="45">+D970</f>
        <v>1343.43922</v>
      </c>
      <c r="F970" s="22">
        <v>22.35501</v>
      </c>
      <c r="G970" s="22">
        <v>42006.003550000001</v>
      </c>
      <c r="H970" s="22">
        <v>284155.69571</v>
      </c>
      <c r="I970" s="22">
        <f t="shared" ref="I970:I1033" si="46">+SUM(F970:H970)</f>
        <v>326184.05427000002</v>
      </c>
      <c r="J970" s="22">
        <f t="shared" ref="J970:J1033" si="47">+E970+I970</f>
        <v>327527.49349000002</v>
      </c>
      <c r="K970" s="22">
        <v>11510.33258</v>
      </c>
    </row>
    <row r="971" spans="1:11" x14ac:dyDescent="0.2">
      <c r="A971" s="15">
        <v>965</v>
      </c>
      <c r="B971" s="20">
        <v>710905</v>
      </c>
      <c r="C971" s="21" t="s">
        <v>144</v>
      </c>
      <c r="D971" s="22">
        <v>373.19794000000002</v>
      </c>
      <c r="E971" s="22">
        <f t="shared" si="45"/>
        <v>373.19794000000002</v>
      </c>
      <c r="F971" s="22"/>
      <c r="G971" s="22">
        <v>27518.547589999998</v>
      </c>
      <c r="H971" s="22">
        <v>264984.31599999999</v>
      </c>
      <c r="I971" s="22">
        <f t="shared" si="46"/>
        <v>292502.86358999996</v>
      </c>
      <c r="J971" s="22">
        <f t="shared" si="47"/>
        <v>292876.06152999995</v>
      </c>
      <c r="K971" s="22"/>
    </row>
    <row r="972" spans="1:11" x14ac:dyDescent="0.2">
      <c r="A972" s="15">
        <v>966</v>
      </c>
      <c r="B972" s="20">
        <v>710910</v>
      </c>
      <c r="C972" s="21" t="s">
        <v>145</v>
      </c>
      <c r="D972" s="22">
        <v>0</v>
      </c>
      <c r="E972" s="22">
        <f t="shared" si="45"/>
        <v>0</v>
      </c>
      <c r="F972" s="22">
        <v>0</v>
      </c>
      <c r="G972" s="22">
        <v>1099.45733</v>
      </c>
      <c r="H972" s="22">
        <v>0</v>
      </c>
      <c r="I972" s="22">
        <f t="shared" si="46"/>
        <v>1099.45733</v>
      </c>
      <c r="J972" s="22">
        <f t="shared" si="47"/>
        <v>1099.45733</v>
      </c>
      <c r="K972" s="22"/>
    </row>
    <row r="973" spans="1:11" x14ac:dyDescent="0.2">
      <c r="A973" s="15">
        <v>967</v>
      </c>
      <c r="B973" s="20">
        <v>710915</v>
      </c>
      <c r="C973" s="21" t="s">
        <v>146</v>
      </c>
      <c r="D973" s="22">
        <v>706.67235000000005</v>
      </c>
      <c r="E973" s="22">
        <f t="shared" si="45"/>
        <v>706.67235000000005</v>
      </c>
      <c r="F973" s="22"/>
      <c r="G973" s="22"/>
      <c r="H973" s="22"/>
      <c r="I973" s="22">
        <f t="shared" si="46"/>
        <v>0</v>
      </c>
      <c r="J973" s="22">
        <f t="shared" si="47"/>
        <v>706.67235000000005</v>
      </c>
      <c r="K973" s="22"/>
    </row>
    <row r="974" spans="1:11" x14ac:dyDescent="0.2">
      <c r="A974" s="15">
        <v>968</v>
      </c>
      <c r="B974" s="20">
        <v>710920</v>
      </c>
      <c r="C974" s="21" t="s">
        <v>147</v>
      </c>
      <c r="D974" s="22"/>
      <c r="E974" s="22">
        <f t="shared" si="45"/>
        <v>0</v>
      </c>
      <c r="F974" s="22"/>
      <c r="G974" s="22">
        <v>5502.2151000000003</v>
      </c>
      <c r="H974" s="22">
        <v>2277.7669599999999</v>
      </c>
      <c r="I974" s="22">
        <f t="shared" si="46"/>
        <v>7779.9820600000003</v>
      </c>
      <c r="J974" s="22">
        <f t="shared" si="47"/>
        <v>7779.9820600000003</v>
      </c>
      <c r="K974" s="22"/>
    </row>
    <row r="975" spans="1:11" x14ac:dyDescent="0.2">
      <c r="A975" s="15">
        <v>969</v>
      </c>
      <c r="B975" s="20">
        <v>710925</v>
      </c>
      <c r="C975" s="21" t="s">
        <v>148</v>
      </c>
      <c r="D975" s="22"/>
      <c r="E975" s="22">
        <f t="shared" si="45"/>
        <v>0</v>
      </c>
      <c r="F975" s="22"/>
      <c r="G975" s="22"/>
      <c r="H975" s="22"/>
      <c r="I975" s="22">
        <f t="shared" si="46"/>
        <v>0</v>
      </c>
      <c r="J975" s="22">
        <f t="shared" si="47"/>
        <v>0</v>
      </c>
      <c r="K975" s="22">
        <v>11510.33258</v>
      </c>
    </row>
    <row r="976" spans="1:11" x14ac:dyDescent="0.2">
      <c r="A976" s="15">
        <v>970</v>
      </c>
      <c r="B976" s="20">
        <v>710930</v>
      </c>
      <c r="C976" s="21" t="s">
        <v>149</v>
      </c>
      <c r="D976" s="22"/>
      <c r="E976" s="22">
        <f t="shared" si="45"/>
        <v>0</v>
      </c>
      <c r="F976" s="22">
        <v>22.35501</v>
      </c>
      <c r="G976" s="22"/>
      <c r="H976" s="22"/>
      <c r="I976" s="22">
        <f t="shared" si="46"/>
        <v>22.35501</v>
      </c>
      <c r="J976" s="22">
        <f t="shared" si="47"/>
        <v>22.35501</v>
      </c>
      <c r="K976" s="22"/>
    </row>
    <row r="977" spans="1:11" x14ac:dyDescent="0.2">
      <c r="A977" s="15">
        <v>971</v>
      </c>
      <c r="B977" s="20">
        <v>710945</v>
      </c>
      <c r="C977" s="21" t="s">
        <v>150</v>
      </c>
      <c r="D977" s="22">
        <v>0</v>
      </c>
      <c r="E977" s="22">
        <f t="shared" si="45"/>
        <v>0</v>
      </c>
      <c r="F977" s="22">
        <v>0</v>
      </c>
      <c r="G977" s="22">
        <v>0</v>
      </c>
      <c r="H977" s="22">
        <v>0</v>
      </c>
      <c r="I977" s="22">
        <f t="shared" si="46"/>
        <v>0</v>
      </c>
      <c r="J977" s="22">
        <f t="shared" si="47"/>
        <v>0</v>
      </c>
      <c r="K977" s="22">
        <v>0</v>
      </c>
    </row>
    <row r="978" spans="1:11" x14ac:dyDescent="0.2">
      <c r="A978" s="15">
        <v>972</v>
      </c>
      <c r="B978" s="20">
        <v>710950</v>
      </c>
      <c r="C978" s="21" t="s">
        <v>151</v>
      </c>
      <c r="D978" s="22">
        <v>256.89150999999998</v>
      </c>
      <c r="E978" s="22">
        <f t="shared" si="45"/>
        <v>256.89150999999998</v>
      </c>
      <c r="F978" s="22">
        <v>0</v>
      </c>
      <c r="G978" s="22">
        <v>7885.7835299999997</v>
      </c>
      <c r="H978" s="22">
        <v>16893.61275</v>
      </c>
      <c r="I978" s="22">
        <f t="shared" si="46"/>
        <v>24779.396280000001</v>
      </c>
      <c r="J978" s="22">
        <f t="shared" si="47"/>
        <v>25036.287790000002</v>
      </c>
      <c r="K978" s="22">
        <v>0</v>
      </c>
    </row>
    <row r="979" spans="1:11" x14ac:dyDescent="0.2">
      <c r="A979" s="15">
        <v>973</v>
      </c>
      <c r="B979" s="20">
        <v>710990</v>
      </c>
      <c r="C979" s="21" t="s">
        <v>58</v>
      </c>
      <c r="D979" s="22">
        <v>6.6774199999999997</v>
      </c>
      <c r="E979" s="22">
        <f t="shared" si="45"/>
        <v>6.6774199999999997</v>
      </c>
      <c r="F979" s="22">
        <v>0</v>
      </c>
      <c r="G979" s="22">
        <v>0</v>
      </c>
      <c r="H979" s="22">
        <v>0</v>
      </c>
      <c r="I979" s="22">
        <f t="shared" si="46"/>
        <v>0</v>
      </c>
      <c r="J979" s="22">
        <f t="shared" si="47"/>
        <v>6.6774199999999997</v>
      </c>
      <c r="K979" s="22">
        <v>0</v>
      </c>
    </row>
    <row r="980" spans="1:11" x14ac:dyDescent="0.2">
      <c r="A980" s="15">
        <v>974</v>
      </c>
      <c r="B980" s="20">
        <v>7110</v>
      </c>
      <c r="C980" s="21" t="s">
        <v>505</v>
      </c>
      <c r="D980" s="22"/>
      <c r="E980" s="22">
        <f t="shared" si="45"/>
        <v>0</v>
      </c>
      <c r="F980" s="22"/>
      <c r="G980" s="22">
        <v>0</v>
      </c>
      <c r="H980" s="22">
        <v>546.24303999999995</v>
      </c>
      <c r="I980" s="22">
        <f t="shared" si="46"/>
        <v>546.24303999999995</v>
      </c>
      <c r="J980" s="22">
        <f t="shared" si="47"/>
        <v>546.24303999999995</v>
      </c>
      <c r="K980" s="22"/>
    </row>
    <row r="981" spans="1:11" x14ac:dyDescent="0.2">
      <c r="A981" s="15">
        <v>975</v>
      </c>
      <c r="B981" s="20">
        <v>711005</v>
      </c>
      <c r="C981" s="21" t="s">
        <v>506</v>
      </c>
      <c r="D981" s="22"/>
      <c r="E981" s="22">
        <f t="shared" si="45"/>
        <v>0</v>
      </c>
      <c r="F981" s="22"/>
      <c r="G981" s="22">
        <v>0</v>
      </c>
      <c r="H981" s="22">
        <v>0</v>
      </c>
      <c r="I981" s="22">
        <f t="shared" si="46"/>
        <v>0</v>
      </c>
      <c r="J981" s="22">
        <f t="shared" si="47"/>
        <v>0</v>
      </c>
      <c r="K981" s="22"/>
    </row>
    <row r="982" spans="1:11" x14ac:dyDescent="0.2">
      <c r="A982" s="15">
        <v>976</v>
      </c>
      <c r="B982" s="20">
        <v>711010</v>
      </c>
      <c r="C982" s="21" t="s">
        <v>507</v>
      </c>
      <c r="D982" s="22"/>
      <c r="E982" s="22">
        <f t="shared" si="45"/>
        <v>0</v>
      </c>
      <c r="F982" s="22"/>
      <c r="G982" s="22">
        <v>0</v>
      </c>
      <c r="H982" s="22">
        <v>546.24303999999995</v>
      </c>
      <c r="I982" s="22">
        <f t="shared" si="46"/>
        <v>546.24303999999995</v>
      </c>
      <c r="J982" s="22">
        <f t="shared" si="47"/>
        <v>546.24303999999995</v>
      </c>
      <c r="K982" s="22"/>
    </row>
    <row r="983" spans="1:11" x14ac:dyDescent="0.2">
      <c r="A983" s="15">
        <v>977</v>
      </c>
      <c r="B983" s="20">
        <v>711015</v>
      </c>
      <c r="C983" s="21" t="s">
        <v>508</v>
      </c>
      <c r="D983" s="22"/>
      <c r="E983" s="22">
        <f t="shared" si="45"/>
        <v>0</v>
      </c>
      <c r="F983" s="22"/>
      <c r="G983" s="22">
        <v>0</v>
      </c>
      <c r="H983" s="22">
        <v>0</v>
      </c>
      <c r="I983" s="22">
        <f t="shared" si="46"/>
        <v>0</v>
      </c>
      <c r="J983" s="22">
        <f t="shared" si="47"/>
        <v>0</v>
      </c>
      <c r="K983" s="22"/>
    </row>
    <row r="984" spans="1:11" x14ac:dyDescent="0.2">
      <c r="A984" s="15">
        <v>978</v>
      </c>
      <c r="B984" s="20">
        <v>7111</v>
      </c>
      <c r="C984" s="21" t="s">
        <v>509</v>
      </c>
      <c r="D984" s="22">
        <v>0</v>
      </c>
      <c r="E984" s="22">
        <f t="shared" si="45"/>
        <v>0</v>
      </c>
      <c r="F984" s="22"/>
      <c r="G984" s="22"/>
      <c r="H984" s="22">
        <v>0</v>
      </c>
      <c r="I984" s="22">
        <f t="shared" si="46"/>
        <v>0</v>
      </c>
      <c r="J984" s="22">
        <f t="shared" si="47"/>
        <v>0</v>
      </c>
      <c r="K984" s="22"/>
    </row>
    <row r="985" spans="1:11" x14ac:dyDescent="0.2">
      <c r="A985" s="15">
        <v>979</v>
      </c>
      <c r="B985" s="20">
        <v>711105</v>
      </c>
      <c r="C985" s="21" t="s">
        <v>510</v>
      </c>
      <c r="D985" s="22">
        <v>0</v>
      </c>
      <c r="E985" s="22">
        <f t="shared" si="45"/>
        <v>0</v>
      </c>
      <c r="F985" s="22"/>
      <c r="G985" s="22"/>
      <c r="H985" s="22">
        <v>0</v>
      </c>
      <c r="I985" s="22">
        <f t="shared" si="46"/>
        <v>0</v>
      </c>
      <c r="J985" s="22">
        <f t="shared" si="47"/>
        <v>0</v>
      </c>
      <c r="K985" s="22"/>
    </row>
    <row r="986" spans="1:11" x14ac:dyDescent="0.2">
      <c r="A986" s="15">
        <v>980</v>
      </c>
      <c r="B986" s="20">
        <v>711110</v>
      </c>
      <c r="C986" s="21" t="s">
        <v>511</v>
      </c>
      <c r="D986" s="22">
        <v>0</v>
      </c>
      <c r="E986" s="22">
        <f t="shared" si="45"/>
        <v>0</v>
      </c>
      <c r="F986" s="22"/>
      <c r="G986" s="22"/>
      <c r="H986" s="22">
        <v>0</v>
      </c>
      <c r="I986" s="22">
        <f t="shared" si="46"/>
        <v>0</v>
      </c>
      <c r="J986" s="22">
        <f t="shared" si="47"/>
        <v>0</v>
      </c>
      <c r="K986" s="22"/>
    </row>
    <row r="987" spans="1:11" x14ac:dyDescent="0.2">
      <c r="A987" s="15">
        <v>981</v>
      </c>
      <c r="B987" s="20">
        <v>711115</v>
      </c>
      <c r="C987" s="21" t="s">
        <v>512</v>
      </c>
      <c r="D987" s="22">
        <v>0</v>
      </c>
      <c r="E987" s="22">
        <f t="shared" si="45"/>
        <v>0</v>
      </c>
      <c r="F987" s="22"/>
      <c r="G987" s="22"/>
      <c r="H987" s="22">
        <v>0</v>
      </c>
      <c r="I987" s="22">
        <f t="shared" si="46"/>
        <v>0</v>
      </c>
      <c r="J987" s="22">
        <f t="shared" si="47"/>
        <v>0</v>
      </c>
      <c r="K987" s="22"/>
    </row>
    <row r="988" spans="1:11" x14ac:dyDescent="0.2">
      <c r="A988" s="15">
        <v>982</v>
      </c>
      <c r="B988" s="20">
        <v>711120</v>
      </c>
      <c r="C988" s="21" t="s">
        <v>255</v>
      </c>
      <c r="D988" s="22">
        <v>0</v>
      </c>
      <c r="E988" s="22">
        <f t="shared" si="45"/>
        <v>0</v>
      </c>
      <c r="F988" s="22"/>
      <c r="G988" s="22"/>
      <c r="H988" s="22">
        <v>0</v>
      </c>
      <c r="I988" s="22">
        <f t="shared" si="46"/>
        <v>0</v>
      </c>
      <c r="J988" s="22">
        <f t="shared" si="47"/>
        <v>0</v>
      </c>
      <c r="K988" s="22"/>
    </row>
    <row r="989" spans="1:11" x14ac:dyDescent="0.2">
      <c r="A989" s="15">
        <v>983</v>
      </c>
      <c r="B989" s="20">
        <v>711125</v>
      </c>
      <c r="C989" s="21" t="s">
        <v>513</v>
      </c>
      <c r="D989" s="22">
        <v>0</v>
      </c>
      <c r="E989" s="22">
        <f t="shared" si="45"/>
        <v>0</v>
      </c>
      <c r="F989" s="22"/>
      <c r="G989" s="22"/>
      <c r="H989" s="22">
        <v>0</v>
      </c>
      <c r="I989" s="22">
        <f t="shared" si="46"/>
        <v>0</v>
      </c>
      <c r="J989" s="22">
        <f t="shared" si="47"/>
        <v>0</v>
      </c>
      <c r="K989" s="22"/>
    </row>
    <row r="990" spans="1:11" x14ac:dyDescent="0.2">
      <c r="A990" s="15">
        <v>984</v>
      </c>
      <c r="B990" s="20">
        <v>711130</v>
      </c>
      <c r="C990" s="21" t="s">
        <v>514</v>
      </c>
      <c r="D990" s="22">
        <v>0</v>
      </c>
      <c r="E990" s="22">
        <f t="shared" si="45"/>
        <v>0</v>
      </c>
      <c r="F990" s="22"/>
      <c r="G990" s="22"/>
      <c r="H990" s="22">
        <v>0</v>
      </c>
      <c r="I990" s="22">
        <f t="shared" si="46"/>
        <v>0</v>
      </c>
      <c r="J990" s="22">
        <f t="shared" si="47"/>
        <v>0</v>
      </c>
      <c r="K990" s="22"/>
    </row>
    <row r="991" spans="1:11" x14ac:dyDescent="0.2">
      <c r="A991" s="15">
        <v>985</v>
      </c>
      <c r="B991" s="20">
        <v>711135</v>
      </c>
      <c r="C991" s="21" t="s">
        <v>257</v>
      </c>
      <c r="D991" s="22">
        <v>0</v>
      </c>
      <c r="E991" s="22">
        <f t="shared" si="45"/>
        <v>0</v>
      </c>
      <c r="F991" s="22"/>
      <c r="G991" s="22"/>
      <c r="H991" s="22">
        <v>0</v>
      </c>
      <c r="I991" s="22">
        <f t="shared" si="46"/>
        <v>0</v>
      </c>
      <c r="J991" s="22">
        <f t="shared" si="47"/>
        <v>0</v>
      </c>
      <c r="K991" s="22"/>
    </row>
    <row r="992" spans="1:11" x14ac:dyDescent="0.2">
      <c r="A992" s="15">
        <v>986</v>
      </c>
      <c r="B992" s="20">
        <v>7190</v>
      </c>
      <c r="C992" s="21" t="s">
        <v>515</v>
      </c>
      <c r="D992" s="22">
        <v>37905.73029</v>
      </c>
      <c r="E992" s="22">
        <f t="shared" si="45"/>
        <v>37905.73029</v>
      </c>
      <c r="F992" s="22">
        <v>345800.04835</v>
      </c>
      <c r="G992" s="22">
        <v>46430.59519</v>
      </c>
      <c r="H992" s="22">
        <v>573500.21544000006</v>
      </c>
      <c r="I992" s="22">
        <f t="shared" si="46"/>
        <v>965730.85898000002</v>
      </c>
      <c r="J992" s="22">
        <f t="shared" si="47"/>
        <v>1003636.58927</v>
      </c>
      <c r="K992" s="22">
        <v>0</v>
      </c>
    </row>
    <row r="993" spans="1:11" x14ac:dyDescent="0.2">
      <c r="A993" s="15">
        <v>987</v>
      </c>
      <c r="B993" s="20">
        <v>719005</v>
      </c>
      <c r="C993" s="21" t="s">
        <v>516</v>
      </c>
      <c r="D993" s="22">
        <v>35189.479800000001</v>
      </c>
      <c r="E993" s="22">
        <f t="shared" si="45"/>
        <v>35189.479800000001</v>
      </c>
      <c r="F993" s="22">
        <v>2.08975</v>
      </c>
      <c r="G993" s="22">
        <v>7.9490000000000005E-2</v>
      </c>
      <c r="H993" s="22">
        <v>0</v>
      </c>
      <c r="I993" s="22">
        <f t="shared" si="46"/>
        <v>2.1692399999999998</v>
      </c>
      <c r="J993" s="22">
        <f t="shared" si="47"/>
        <v>35191.649040000004</v>
      </c>
      <c r="K993" s="22">
        <v>0</v>
      </c>
    </row>
    <row r="994" spans="1:11" x14ac:dyDescent="0.2">
      <c r="A994" s="15">
        <v>988</v>
      </c>
      <c r="B994" s="20">
        <v>719010</v>
      </c>
      <c r="C994" s="21" t="s">
        <v>517</v>
      </c>
      <c r="D994" s="22">
        <v>0</v>
      </c>
      <c r="E994" s="22">
        <f t="shared" si="45"/>
        <v>0</v>
      </c>
      <c r="F994" s="22">
        <v>1239.0742</v>
      </c>
      <c r="G994" s="22">
        <v>0</v>
      </c>
      <c r="H994" s="22">
        <v>0</v>
      </c>
      <c r="I994" s="22">
        <f t="shared" si="46"/>
        <v>1239.0742</v>
      </c>
      <c r="J994" s="22">
        <f t="shared" si="47"/>
        <v>1239.0742</v>
      </c>
      <c r="K994" s="22">
        <v>0</v>
      </c>
    </row>
    <row r="995" spans="1:11" x14ac:dyDescent="0.2">
      <c r="A995" s="15">
        <v>989</v>
      </c>
      <c r="B995" s="20">
        <v>719015</v>
      </c>
      <c r="C995" s="21" t="s">
        <v>518</v>
      </c>
      <c r="D995" s="22">
        <v>0</v>
      </c>
      <c r="E995" s="22">
        <f t="shared" si="45"/>
        <v>0</v>
      </c>
      <c r="F995" s="22">
        <v>0</v>
      </c>
      <c r="G995" s="22">
        <v>110.25</v>
      </c>
      <c r="H995" s="22">
        <v>0</v>
      </c>
      <c r="I995" s="22">
        <f t="shared" si="46"/>
        <v>110.25</v>
      </c>
      <c r="J995" s="22">
        <f t="shared" si="47"/>
        <v>110.25</v>
      </c>
      <c r="K995" s="22"/>
    </row>
    <row r="996" spans="1:11" x14ac:dyDescent="0.2">
      <c r="A996" s="15">
        <v>990</v>
      </c>
      <c r="B996" s="20">
        <v>719020</v>
      </c>
      <c r="C996" s="21" t="s">
        <v>519</v>
      </c>
      <c r="D996" s="22">
        <v>0.49481999999999998</v>
      </c>
      <c r="E996" s="22">
        <f t="shared" si="45"/>
        <v>0.49481999999999998</v>
      </c>
      <c r="F996" s="22">
        <v>0</v>
      </c>
      <c r="G996" s="22">
        <v>0</v>
      </c>
      <c r="H996" s="22">
        <v>0.36663000000000001</v>
      </c>
      <c r="I996" s="22">
        <f t="shared" si="46"/>
        <v>0.36663000000000001</v>
      </c>
      <c r="J996" s="22">
        <f t="shared" si="47"/>
        <v>0.86145000000000005</v>
      </c>
      <c r="K996" s="22"/>
    </row>
    <row r="997" spans="1:11" x14ac:dyDescent="0.2">
      <c r="A997" s="15">
        <v>991</v>
      </c>
      <c r="B997" s="20">
        <v>719025</v>
      </c>
      <c r="C997" s="21" t="s">
        <v>520</v>
      </c>
      <c r="D997" s="22">
        <v>0</v>
      </c>
      <c r="E997" s="22">
        <f t="shared" si="45"/>
        <v>0</v>
      </c>
      <c r="F997" s="22">
        <v>0</v>
      </c>
      <c r="G997" s="22">
        <v>0</v>
      </c>
      <c r="H997" s="22">
        <v>0</v>
      </c>
      <c r="I997" s="22">
        <f t="shared" si="46"/>
        <v>0</v>
      </c>
      <c r="J997" s="22">
        <f t="shared" si="47"/>
        <v>0</v>
      </c>
      <c r="K997" s="22"/>
    </row>
    <row r="998" spans="1:11" x14ac:dyDescent="0.2">
      <c r="A998" s="15">
        <v>992</v>
      </c>
      <c r="B998" s="20">
        <v>719035</v>
      </c>
      <c r="C998" s="21" t="s">
        <v>521</v>
      </c>
      <c r="D998" s="22">
        <v>0.1119</v>
      </c>
      <c r="E998" s="22">
        <f t="shared" si="45"/>
        <v>0.1119</v>
      </c>
      <c r="F998" s="22">
        <v>0</v>
      </c>
      <c r="G998" s="22">
        <v>0.48181000000000002</v>
      </c>
      <c r="H998" s="22">
        <v>698.02449000000001</v>
      </c>
      <c r="I998" s="22">
        <f t="shared" si="46"/>
        <v>698.50630000000001</v>
      </c>
      <c r="J998" s="22">
        <f t="shared" si="47"/>
        <v>698.6182</v>
      </c>
      <c r="K998" s="22"/>
    </row>
    <row r="999" spans="1:11" x14ac:dyDescent="0.2">
      <c r="A999" s="15">
        <v>993</v>
      </c>
      <c r="B999" s="20">
        <v>719045</v>
      </c>
      <c r="C999" s="21" t="s">
        <v>522</v>
      </c>
      <c r="D999" s="22">
        <v>0</v>
      </c>
      <c r="E999" s="22">
        <f t="shared" si="45"/>
        <v>0</v>
      </c>
      <c r="F999" s="22">
        <v>0</v>
      </c>
      <c r="G999" s="22">
        <v>0</v>
      </c>
      <c r="H999" s="22">
        <v>0</v>
      </c>
      <c r="I999" s="22">
        <f t="shared" si="46"/>
        <v>0</v>
      </c>
      <c r="J999" s="22">
        <f t="shared" si="47"/>
        <v>0</v>
      </c>
      <c r="K999" s="22">
        <v>0</v>
      </c>
    </row>
    <row r="1000" spans="1:11" x14ac:dyDescent="0.2">
      <c r="A1000" s="15">
        <v>994</v>
      </c>
      <c r="B1000" s="20">
        <v>719090</v>
      </c>
      <c r="C1000" s="21" t="s">
        <v>523</v>
      </c>
      <c r="D1000" s="22">
        <v>2715.6437700000001</v>
      </c>
      <c r="E1000" s="22">
        <f t="shared" si="45"/>
        <v>2715.6437700000001</v>
      </c>
      <c r="F1000" s="22">
        <v>344558.88439999998</v>
      </c>
      <c r="G1000" s="22">
        <v>46319.783889999999</v>
      </c>
      <c r="H1000" s="22">
        <v>572801.82432000001</v>
      </c>
      <c r="I1000" s="22">
        <f t="shared" si="46"/>
        <v>963680.49261000007</v>
      </c>
      <c r="J1000" s="22">
        <f t="shared" si="47"/>
        <v>966396.13638000004</v>
      </c>
      <c r="K1000" s="22">
        <v>0</v>
      </c>
    </row>
    <row r="1001" spans="1:11" x14ac:dyDescent="0.2">
      <c r="A1001" s="15">
        <v>995</v>
      </c>
      <c r="B1001" s="20">
        <v>74</v>
      </c>
      <c r="C1001" s="21" t="s">
        <v>524</v>
      </c>
      <c r="D1001" s="22">
        <v>879348.59782999998</v>
      </c>
      <c r="E1001" s="22">
        <f t="shared" si="45"/>
        <v>879348.59782999998</v>
      </c>
      <c r="F1001" s="22">
        <v>339725.84193</v>
      </c>
      <c r="G1001" s="22">
        <v>4209878.2947300002</v>
      </c>
      <c r="H1001" s="22">
        <v>10925552.683630001</v>
      </c>
      <c r="I1001" s="22">
        <f t="shared" si="46"/>
        <v>15475156.820290001</v>
      </c>
      <c r="J1001" s="22">
        <f t="shared" si="47"/>
        <v>16354505.418120001</v>
      </c>
      <c r="K1001" s="22">
        <v>34261.844129999998</v>
      </c>
    </row>
    <row r="1002" spans="1:11" x14ac:dyDescent="0.2">
      <c r="A1002" s="15">
        <v>996</v>
      </c>
      <c r="B1002" s="20">
        <v>7401</v>
      </c>
      <c r="C1002" s="21" t="s">
        <v>525</v>
      </c>
      <c r="D1002" s="22">
        <v>756086.00260999997</v>
      </c>
      <c r="E1002" s="22">
        <f t="shared" si="45"/>
        <v>756086.00260999997</v>
      </c>
      <c r="F1002" s="22">
        <v>104973.09078</v>
      </c>
      <c r="G1002" s="22">
        <v>4158123.19936</v>
      </c>
      <c r="H1002" s="22">
        <v>9327379.5692200009</v>
      </c>
      <c r="I1002" s="22">
        <f t="shared" si="46"/>
        <v>13590475.859360002</v>
      </c>
      <c r="J1002" s="22">
        <f t="shared" si="47"/>
        <v>14346561.861970002</v>
      </c>
      <c r="K1002" s="22">
        <v>29783.437129999998</v>
      </c>
    </row>
    <row r="1003" spans="1:11" x14ac:dyDescent="0.2">
      <c r="A1003" s="15">
        <v>997</v>
      </c>
      <c r="B1003" s="20">
        <v>740105</v>
      </c>
      <c r="C1003" s="21" t="s">
        <v>473</v>
      </c>
      <c r="D1003" s="22"/>
      <c r="E1003" s="22">
        <f t="shared" si="45"/>
        <v>0</v>
      </c>
      <c r="F1003" s="22"/>
      <c r="G1003" s="22">
        <v>10208.795050000001</v>
      </c>
      <c r="H1003" s="22"/>
      <c r="I1003" s="22">
        <f t="shared" si="46"/>
        <v>10208.795050000001</v>
      </c>
      <c r="J1003" s="22">
        <f t="shared" si="47"/>
        <v>10208.795050000001</v>
      </c>
      <c r="K1003" s="22"/>
    </row>
    <row r="1004" spans="1:11" x14ac:dyDescent="0.2">
      <c r="A1004" s="15">
        <v>998</v>
      </c>
      <c r="B1004" s="20">
        <v>740110</v>
      </c>
      <c r="C1004" s="21" t="s">
        <v>526</v>
      </c>
      <c r="D1004" s="22">
        <v>469023.68979999999</v>
      </c>
      <c r="E1004" s="22">
        <f t="shared" si="45"/>
        <v>469023.68979999999</v>
      </c>
      <c r="F1004" s="22">
        <v>104973.09078</v>
      </c>
      <c r="G1004" s="22">
        <v>1532164.7725899999</v>
      </c>
      <c r="H1004" s="22">
        <v>4671328.3691800004</v>
      </c>
      <c r="I1004" s="22">
        <f t="shared" si="46"/>
        <v>6308466.2325500008</v>
      </c>
      <c r="J1004" s="22">
        <f t="shared" si="47"/>
        <v>6777489.9223500006</v>
      </c>
      <c r="K1004" s="22">
        <v>968.76836000000003</v>
      </c>
    </row>
    <row r="1005" spans="1:11" x14ac:dyDescent="0.2">
      <c r="A1005" s="15">
        <v>999</v>
      </c>
      <c r="B1005" s="20">
        <v>740115</v>
      </c>
      <c r="C1005" s="21" t="s">
        <v>527</v>
      </c>
      <c r="D1005" s="22">
        <v>0</v>
      </c>
      <c r="E1005" s="22">
        <f t="shared" si="45"/>
        <v>0</v>
      </c>
      <c r="F1005" s="22">
        <v>0</v>
      </c>
      <c r="G1005" s="22">
        <v>0</v>
      </c>
      <c r="H1005" s="22">
        <v>293463.95822999999</v>
      </c>
      <c r="I1005" s="22">
        <f t="shared" si="46"/>
        <v>293463.95822999999</v>
      </c>
      <c r="J1005" s="22">
        <f t="shared" si="47"/>
        <v>293463.95822999999</v>
      </c>
      <c r="K1005" s="22">
        <v>0</v>
      </c>
    </row>
    <row r="1006" spans="1:11" x14ac:dyDescent="0.2">
      <c r="A1006" s="15">
        <v>1000</v>
      </c>
      <c r="B1006" s="20">
        <v>740120</v>
      </c>
      <c r="C1006" s="21" t="s">
        <v>528</v>
      </c>
      <c r="D1006" s="22">
        <v>287062.31280999997</v>
      </c>
      <c r="E1006" s="22">
        <f t="shared" si="45"/>
        <v>287062.31280999997</v>
      </c>
      <c r="F1006" s="22">
        <v>0</v>
      </c>
      <c r="G1006" s="22">
        <v>2530469.8614500002</v>
      </c>
      <c r="H1006" s="22">
        <v>1437967.6934400001</v>
      </c>
      <c r="I1006" s="22">
        <f t="shared" si="46"/>
        <v>3968437.5548900003</v>
      </c>
      <c r="J1006" s="22">
        <f t="shared" si="47"/>
        <v>4255499.8677000003</v>
      </c>
      <c r="K1006" s="22">
        <v>28814.66877</v>
      </c>
    </row>
    <row r="1007" spans="1:11" x14ac:dyDescent="0.2">
      <c r="A1007" s="15">
        <v>1001</v>
      </c>
      <c r="B1007" s="20">
        <v>740125</v>
      </c>
      <c r="C1007" s="21" t="s">
        <v>529</v>
      </c>
      <c r="D1007" s="22">
        <v>0</v>
      </c>
      <c r="E1007" s="22">
        <f t="shared" si="45"/>
        <v>0</v>
      </c>
      <c r="F1007" s="22">
        <v>0</v>
      </c>
      <c r="G1007" s="22">
        <v>77069.375409999993</v>
      </c>
      <c r="H1007" s="22">
        <v>698979.42634999997</v>
      </c>
      <c r="I1007" s="22">
        <f t="shared" si="46"/>
        <v>776048.80175999994</v>
      </c>
      <c r="J1007" s="22">
        <f t="shared" si="47"/>
        <v>776048.80175999994</v>
      </c>
      <c r="K1007" s="22">
        <v>0</v>
      </c>
    </row>
    <row r="1008" spans="1:11" x14ac:dyDescent="0.2">
      <c r="A1008" s="15">
        <v>1002</v>
      </c>
      <c r="B1008" s="20">
        <v>740130</v>
      </c>
      <c r="C1008" s="21" t="s">
        <v>474</v>
      </c>
      <c r="D1008" s="22"/>
      <c r="E1008" s="22">
        <f t="shared" si="45"/>
        <v>0</v>
      </c>
      <c r="F1008" s="22"/>
      <c r="G1008" s="22">
        <v>8210.3948600000003</v>
      </c>
      <c r="H1008" s="22">
        <v>2225640.1220200001</v>
      </c>
      <c r="I1008" s="22">
        <f t="shared" si="46"/>
        <v>2233850.51688</v>
      </c>
      <c r="J1008" s="22">
        <f t="shared" si="47"/>
        <v>2233850.51688</v>
      </c>
      <c r="K1008" s="22"/>
    </row>
    <row r="1009" spans="1:11" x14ac:dyDescent="0.2">
      <c r="A1009" s="15">
        <v>1003</v>
      </c>
      <c r="B1009" s="20">
        <v>740135</v>
      </c>
      <c r="C1009" s="21" t="s">
        <v>530</v>
      </c>
      <c r="D1009" s="22"/>
      <c r="E1009" s="22">
        <f t="shared" si="45"/>
        <v>0</v>
      </c>
      <c r="F1009" s="22"/>
      <c r="G1009" s="22">
        <v>0</v>
      </c>
      <c r="H1009" s="22">
        <v>0</v>
      </c>
      <c r="I1009" s="22">
        <f t="shared" si="46"/>
        <v>0</v>
      </c>
      <c r="J1009" s="22">
        <f t="shared" si="47"/>
        <v>0</v>
      </c>
      <c r="K1009" s="22"/>
    </row>
    <row r="1010" spans="1:11" x14ac:dyDescent="0.2">
      <c r="A1010" s="15">
        <v>1004</v>
      </c>
      <c r="B1010" s="20">
        <v>740140</v>
      </c>
      <c r="C1010" s="21" t="s">
        <v>477</v>
      </c>
      <c r="D1010" s="22"/>
      <c r="E1010" s="22">
        <f t="shared" si="45"/>
        <v>0</v>
      </c>
      <c r="F1010" s="22"/>
      <c r="G1010" s="22">
        <v>0</v>
      </c>
      <c r="H1010" s="22"/>
      <c r="I1010" s="22">
        <f t="shared" si="46"/>
        <v>0</v>
      </c>
      <c r="J1010" s="22">
        <f t="shared" si="47"/>
        <v>0</v>
      </c>
      <c r="K1010" s="22"/>
    </row>
    <row r="1011" spans="1:11" x14ac:dyDescent="0.2">
      <c r="A1011" s="15">
        <v>1005</v>
      </c>
      <c r="B1011" s="20">
        <v>7402</v>
      </c>
      <c r="C1011" s="21" t="s">
        <v>531</v>
      </c>
      <c r="D1011" s="22"/>
      <c r="E1011" s="22">
        <f t="shared" si="45"/>
        <v>0</v>
      </c>
      <c r="F1011" s="22"/>
      <c r="G1011" s="22"/>
      <c r="H1011" s="22"/>
      <c r="I1011" s="22">
        <f t="shared" si="46"/>
        <v>0</v>
      </c>
      <c r="J1011" s="22">
        <f t="shared" si="47"/>
        <v>0</v>
      </c>
      <c r="K1011" s="22"/>
    </row>
    <row r="1012" spans="1:11" x14ac:dyDescent="0.2">
      <c r="A1012" s="15">
        <v>1006</v>
      </c>
      <c r="B1012" s="20">
        <v>740205</v>
      </c>
      <c r="C1012" s="21" t="s">
        <v>532</v>
      </c>
      <c r="D1012" s="22"/>
      <c r="E1012" s="22">
        <f t="shared" si="45"/>
        <v>0</v>
      </c>
      <c r="F1012" s="22"/>
      <c r="G1012" s="22"/>
      <c r="H1012" s="22"/>
      <c r="I1012" s="22">
        <f t="shared" si="46"/>
        <v>0</v>
      </c>
      <c r="J1012" s="22">
        <f t="shared" si="47"/>
        <v>0</v>
      </c>
      <c r="K1012" s="22"/>
    </row>
    <row r="1013" spans="1:11" x14ac:dyDescent="0.2">
      <c r="A1013" s="15">
        <v>1007</v>
      </c>
      <c r="B1013" s="20">
        <v>740210</v>
      </c>
      <c r="C1013" s="21" t="s">
        <v>533</v>
      </c>
      <c r="D1013" s="22"/>
      <c r="E1013" s="22">
        <f t="shared" si="45"/>
        <v>0</v>
      </c>
      <c r="F1013" s="22"/>
      <c r="G1013" s="22"/>
      <c r="H1013" s="22"/>
      <c r="I1013" s="22">
        <f t="shared" si="46"/>
        <v>0</v>
      </c>
      <c r="J1013" s="22">
        <f t="shared" si="47"/>
        <v>0</v>
      </c>
      <c r="K1013" s="22"/>
    </row>
    <row r="1014" spans="1:11" x14ac:dyDescent="0.2">
      <c r="A1014" s="15">
        <v>1008</v>
      </c>
      <c r="B1014" s="20">
        <v>740215</v>
      </c>
      <c r="C1014" s="21" t="s">
        <v>534</v>
      </c>
      <c r="D1014" s="22"/>
      <c r="E1014" s="22">
        <f t="shared" si="45"/>
        <v>0</v>
      </c>
      <c r="F1014" s="22"/>
      <c r="G1014" s="22"/>
      <c r="H1014" s="22"/>
      <c r="I1014" s="22">
        <f t="shared" si="46"/>
        <v>0</v>
      </c>
      <c r="J1014" s="22">
        <f t="shared" si="47"/>
        <v>0</v>
      </c>
      <c r="K1014" s="22"/>
    </row>
    <row r="1015" spans="1:11" x14ac:dyDescent="0.2">
      <c r="A1015" s="15">
        <v>1009</v>
      </c>
      <c r="B1015" s="20">
        <v>740220</v>
      </c>
      <c r="C1015" s="21" t="s">
        <v>535</v>
      </c>
      <c r="D1015" s="22"/>
      <c r="E1015" s="22">
        <f t="shared" si="45"/>
        <v>0</v>
      </c>
      <c r="F1015" s="22"/>
      <c r="G1015" s="22"/>
      <c r="H1015" s="22"/>
      <c r="I1015" s="22">
        <f t="shared" si="46"/>
        <v>0</v>
      </c>
      <c r="J1015" s="22">
        <f t="shared" si="47"/>
        <v>0</v>
      </c>
      <c r="K1015" s="22"/>
    </row>
    <row r="1016" spans="1:11" x14ac:dyDescent="0.2">
      <c r="A1016" s="15">
        <v>1010</v>
      </c>
      <c r="B1016" s="20">
        <v>740225</v>
      </c>
      <c r="C1016" s="21" t="s">
        <v>536</v>
      </c>
      <c r="D1016" s="22"/>
      <c r="E1016" s="22">
        <f t="shared" si="45"/>
        <v>0</v>
      </c>
      <c r="F1016" s="22"/>
      <c r="G1016" s="22"/>
      <c r="H1016" s="22"/>
      <c r="I1016" s="22">
        <f t="shared" si="46"/>
        <v>0</v>
      </c>
      <c r="J1016" s="22">
        <f t="shared" si="47"/>
        <v>0</v>
      </c>
      <c r="K1016" s="22"/>
    </row>
    <row r="1017" spans="1:11" x14ac:dyDescent="0.2">
      <c r="A1017" s="15">
        <v>1011</v>
      </c>
      <c r="B1017" s="20">
        <v>740230</v>
      </c>
      <c r="C1017" s="21" t="s">
        <v>330</v>
      </c>
      <c r="D1017" s="22"/>
      <c r="E1017" s="22">
        <f t="shared" si="45"/>
        <v>0</v>
      </c>
      <c r="F1017" s="22"/>
      <c r="G1017" s="22"/>
      <c r="H1017" s="22"/>
      <c r="I1017" s="22">
        <f t="shared" si="46"/>
        <v>0</v>
      </c>
      <c r="J1017" s="22">
        <f t="shared" si="47"/>
        <v>0</v>
      </c>
      <c r="K1017" s="22"/>
    </row>
    <row r="1018" spans="1:11" x14ac:dyDescent="0.2">
      <c r="A1018" s="15">
        <v>1012</v>
      </c>
      <c r="B1018" s="20">
        <v>740235</v>
      </c>
      <c r="C1018" s="21" t="s">
        <v>537</v>
      </c>
      <c r="D1018" s="22"/>
      <c r="E1018" s="22">
        <f t="shared" si="45"/>
        <v>0</v>
      </c>
      <c r="F1018" s="22"/>
      <c r="G1018" s="22"/>
      <c r="H1018" s="22"/>
      <c r="I1018" s="22">
        <f t="shared" si="46"/>
        <v>0</v>
      </c>
      <c r="J1018" s="22">
        <f t="shared" si="47"/>
        <v>0</v>
      </c>
      <c r="K1018" s="22"/>
    </row>
    <row r="1019" spans="1:11" x14ac:dyDescent="0.2">
      <c r="A1019" s="15">
        <v>1013</v>
      </c>
      <c r="B1019" s="20">
        <v>740240</v>
      </c>
      <c r="C1019" s="21" t="s">
        <v>538</v>
      </c>
      <c r="D1019" s="22"/>
      <c r="E1019" s="22">
        <f t="shared" si="45"/>
        <v>0</v>
      </c>
      <c r="F1019" s="22"/>
      <c r="G1019" s="22"/>
      <c r="H1019" s="22"/>
      <c r="I1019" s="22">
        <f t="shared" si="46"/>
        <v>0</v>
      </c>
      <c r="J1019" s="22">
        <f t="shared" si="47"/>
        <v>0</v>
      </c>
      <c r="K1019" s="22"/>
    </row>
    <row r="1020" spans="1:11" x14ac:dyDescent="0.2">
      <c r="A1020" s="15">
        <v>1014</v>
      </c>
      <c r="B1020" s="20">
        <v>740245</v>
      </c>
      <c r="C1020" s="21" t="s">
        <v>539</v>
      </c>
      <c r="D1020" s="22"/>
      <c r="E1020" s="22">
        <f t="shared" si="45"/>
        <v>0</v>
      </c>
      <c r="F1020" s="22"/>
      <c r="G1020" s="22"/>
      <c r="H1020" s="22"/>
      <c r="I1020" s="22">
        <f t="shared" si="46"/>
        <v>0</v>
      </c>
      <c r="J1020" s="22">
        <f t="shared" si="47"/>
        <v>0</v>
      </c>
      <c r="K1020" s="22"/>
    </row>
    <row r="1021" spans="1:11" x14ac:dyDescent="0.2">
      <c r="A1021" s="15">
        <v>1015</v>
      </c>
      <c r="B1021" s="20">
        <v>740250</v>
      </c>
      <c r="C1021" s="21" t="s">
        <v>540</v>
      </c>
      <c r="D1021" s="22"/>
      <c r="E1021" s="22">
        <f t="shared" si="45"/>
        <v>0</v>
      </c>
      <c r="F1021" s="22"/>
      <c r="G1021" s="22"/>
      <c r="H1021" s="22"/>
      <c r="I1021" s="22">
        <f t="shared" si="46"/>
        <v>0</v>
      </c>
      <c r="J1021" s="22">
        <f t="shared" si="47"/>
        <v>0</v>
      </c>
      <c r="K1021" s="22"/>
    </row>
    <row r="1022" spans="1:11" x14ac:dyDescent="0.2">
      <c r="A1022" s="15">
        <v>1016</v>
      </c>
      <c r="B1022" s="20">
        <v>7403</v>
      </c>
      <c r="C1022" s="21" t="s">
        <v>541</v>
      </c>
      <c r="D1022" s="22"/>
      <c r="E1022" s="22">
        <f t="shared" si="45"/>
        <v>0</v>
      </c>
      <c r="F1022" s="22"/>
      <c r="G1022" s="22"/>
      <c r="H1022" s="22"/>
      <c r="I1022" s="22">
        <f t="shared" si="46"/>
        <v>0</v>
      </c>
      <c r="J1022" s="22">
        <f t="shared" si="47"/>
        <v>0</v>
      </c>
      <c r="K1022" s="22"/>
    </row>
    <row r="1023" spans="1:11" x14ac:dyDescent="0.2">
      <c r="A1023" s="15">
        <v>1017</v>
      </c>
      <c r="B1023" s="20">
        <v>740305</v>
      </c>
      <c r="C1023" s="21" t="s">
        <v>532</v>
      </c>
      <c r="D1023" s="22"/>
      <c r="E1023" s="22">
        <f t="shared" si="45"/>
        <v>0</v>
      </c>
      <c r="F1023" s="22"/>
      <c r="G1023" s="22"/>
      <c r="H1023" s="22"/>
      <c r="I1023" s="22">
        <f t="shared" si="46"/>
        <v>0</v>
      </c>
      <c r="J1023" s="22">
        <f t="shared" si="47"/>
        <v>0</v>
      </c>
      <c r="K1023" s="22"/>
    </row>
    <row r="1024" spans="1:11" x14ac:dyDescent="0.2">
      <c r="A1024" s="15">
        <v>1018</v>
      </c>
      <c r="B1024" s="20">
        <v>740310</v>
      </c>
      <c r="C1024" s="21" t="s">
        <v>533</v>
      </c>
      <c r="D1024" s="22"/>
      <c r="E1024" s="22">
        <f t="shared" si="45"/>
        <v>0</v>
      </c>
      <c r="F1024" s="22"/>
      <c r="G1024" s="22"/>
      <c r="H1024" s="22"/>
      <c r="I1024" s="22">
        <f t="shared" si="46"/>
        <v>0</v>
      </c>
      <c r="J1024" s="22">
        <f t="shared" si="47"/>
        <v>0</v>
      </c>
      <c r="K1024" s="22"/>
    </row>
    <row r="1025" spans="1:11" x14ac:dyDescent="0.2">
      <c r="A1025" s="15">
        <v>1019</v>
      </c>
      <c r="B1025" s="20">
        <v>740315</v>
      </c>
      <c r="C1025" s="21" t="s">
        <v>534</v>
      </c>
      <c r="D1025" s="22"/>
      <c r="E1025" s="22">
        <f t="shared" si="45"/>
        <v>0</v>
      </c>
      <c r="F1025" s="22"/>
      <c r="G1025" s="22"/>
      <c r="H1025" s="22"/>
      <c r="I1025" s="22">
        <f t="shared" si="46"/>
        <v>0</v>
      </c>
      <c r="J1025" s="22">
        <f t="shared" si="47"/>
        <v>0</v>
      </c>
      <c r="K1025" s="22"/>
    </row>
    <row r="1026" spans="1:11" x14ac:dyDescent="0.2">
      <c r="A1026" s="15">
        <v>1020</v>
      </c>
      <c r="B1026" s="20">
        <v>740320</v>
      </c>
      <c r="C1026" s="21" t="s">
        <v>535</v>
      </c>
      <c r="D1026" s="22"/>
      <c r="E1026" s="22">
        <f t="shared" si="45"/>
        <v>0</v>
      </c>
      <c r="F1026" s="22"/>
      <c r="G1026" s="22"/>
      <c r="H1026" s="22"/>
      <c r="I1026" s="22">
        <f t="shared" si="46"/>
        <v>0</v>
      </c>
      <c r="J1026" s="22">
        <f t="shared" si="47"/>
        <v>0</v>
      </c>
      <c r="K1026" s="22"/>
    </row>
    <row r="1027" spans="1:11" x14ac:dyDescent="0.2">
      <c r="A1027" s="15">
        <v>1021</v>
      </c>
      <c r="B1027" s="20">
        <v>740325</v>
      </c>
      <c r="C1027" s="21" t="s">
        <v>536</v>
      </c>
      <c r="D1027" s="22"/>
      <c r="E1027" s="22">
        <f t="shared" si="45"/>
        <v>0</v>
      </c>
      <c r="F1027" s="22"/>
      <c r="G1027" s="22"/>
      <c r="H1027" s="22"/>
      <c r="I1027" s="22">
        <f t="shared" si="46"/>
        <v>0</v>
      </c>
      <c r="J1027" s="22">
        <f t="shared" si="47"/>
        <v>0</v>
      </c>
      <c r="K1027" s="22"/>
    </row>
    <row r="1028" spans="1:11" x14ac:dyDescent="0.2">
      <c r="A1028" s="15">
        <v>1022</v>
      </c>
      <c r="B1028" s="20">
        <v>740330</v>
      </c>
      <c r="C1028" s="21" t="s">
        <v>330</v>
      </c>
      <c r="D1028" s="22"/>
      <c r="E1028" s="22">
        <f t="shared" si="45"/>
        <v>0</v>
      </c>
      <c r="F1028" s="22"/>
      <c r="G1028" s="22"/>
      <c r="H1028" s="22"/>
      <c r="I1028" s="22">
        <f t="shared" si="46"/>
        <v>0</v>
      </c>
      <c r="J1028" s="22">
        <f t="shared" si="47"/>
        <v>0</v>
      </c>
      <c r="K1028" s="22"/>
    </row>
    <row r="1029" spans="1:11" x14ac:dyDescent="0.2">
      <c r="A1029" s="15">
        <v>1023</v>
      </c>
      <c r="B1029" s="20">
        <v>740335</v>
      </c>
      <c r="C1029" s="21" t="s">
        <v>537</v>
      </c>
      <c r="D1029" s="22"/>
      <c r="E1029" s="22">
        <f t="shared" si="45"/>
        <v>0</v>
      </c>
      <c r="F1029" s="22"/>
      <c r="G1029" s="22"/>
      <c r="H1029" s="22"/>
      <c r="I1029" s="22">
        <f t="shared" si="46"/>
        <v>0</v>
      </c>
      <c r="J1029" s="22">
        <f t="shared" si="47"/>
        <v>0</v>
      </c>
      <c r="K1029" s="22"/>
    </row>
    <row r="1030" spans="1:11" x14ac:dyDescent="0.2">
      <c r="A1030" s="15">
        <v>1024</v>
      </c>
      <c r="B1030" s="20">
        <v>740340</v>
      </c>
      <c r="C1030" s="21" t="s">
        <v>542</v>
      </c>
      <c r="D1030" s="22"/>
      <c r="E1030" s="22">
        <f t="shared" si="45"/>
        <v>0</v>
      </c>
      <c r="F1030" s="22"/>
      <c r="G1030" s="22"/>
      <c r="H1030" s="22"/>
      <c r="I1030" s="22">
        <f t="shared" si="46"/>
        <v>0</v>
      </c>
      <c r="J1030" s="22">
        <f t="shared" si="47"/>
        <v>0</v>
      </c>
      <c r="K1030" s="22"/>
    </row>
    <row r="1031" spans="1:11" x14ac:dyDescent="0.2">
      <c r="A1031" s="15">
        <v>1025</v>
      </c>
      <c r="B1031" s="20">
        <v>740345</v>
      </c>
      <c r="C1031" s="21" t="s">
        <v>543</v>
      </c>
      <c r="D1031" s="22"/>
      <c r="E1031" s="22">
        <f t="shared" si="45"/>
        <v>0</v>
      </c>
      <c r="F1031" s="22"/>
      <c r="G1031" s="22"/>
      <c r="H1031" s="22"/>
      <c r="I1031" s="22">
        <f t="shared" si="46"/>
        <v>0</v>
      </c>
      <c r="J1031" s="22">
        <f t="shared" si="47"/>
        <v>0</v>
      </c>
      <c r="K1031" s="22"/>
    </row>
    <row r="1032" spans="1:11" x14ac:dyDescent="0.2">
      <c r="A1032" s="15">
        <v>1026</v>
      </c>
      <c r="B1032" s="20">
        <v>740350</v>
      </c>
      <c r="C1032" s="21" t="s">
        <v>540</v>
      </c>
      <c r="D1032" s="22"/>
      <c r="E1032" s="22">
        <f t="shared" si="45"/>
        <v>0</v>
      </c>
      <c r="F1032" s="22"/>
      <c r="G1032" s="22"/>
      <c r="H1032" s="22"/>
      <c r="I1032" s="22">
        <f t="shared" si="46"/>
        <v>0</v>
      </c>
      <c r="J1032" s="22">
        <f t="shared" si="47"/>
        <v>0</v>
      </c>
      <c r="K1032" s="22"/>
    </row>
    <row r="1033" spans="1:11" x14ac:dyDescent="0.2">
      <c r="A1033" s="15">
        <v>1027</v>
      </c>
      <c r="B1033" s="20">
        <v>7404</v>
      </c>
      <c r="C1033" s="21" t="s">
        <v>544</v>
      </c>
      <c r="D1033" s="22"/>
      <c r="E1033" s="22">
        <f t="shared" si="45"/>
        <v>0</v>
      </c>
      <c r="F1033" s="22"/>
      <c r="G1033" s="22"/>
      <c r="H1033" s="22"/>
      <c r="I1033" s="22">
        <f t="shared" si="46"/>
        <v>0</v>
      </c>
      <c r="J1033" s="22">
        <f t="shared" si="47"/>
        <v>0</v>
      </c>
      <c r="K1033" s="22"/>
    </row>
    <row r="1034" spans="1:11" x14ac:dyDescent="0.2">
      <c r="A1034" s="15">
        <v>1028</v>
      </c>
      <c r="B1034" s="20">
        <v>740405</v>
      </c>
      <c r="C1034" s="21" t="s">
        <v>532</v>
      </c>
      <c r="D1034" s="22"/>
      <c r="E1034" s="22">
        <f t="shared" ref="E1034:E1097" si="48">+D1034</f>
        <v>0</v>
      </c>
      <c r="F1034" s="22"/>
      <c r="G1034" s="22"/>
      <c r="H1034" s="22"/>
      <c r="I1034" s="22">
        <f t="shared" ref="I1034:I1097" si="49">+SUM(F1034:H1034)</f>
        <v>0</v>
      </c>
      <c r="J1034" s="22">
        <f t="shared" ref="J1034:J1097" si="50">+E1034+I1034</f>
        <v>0</v>
      </c>
      <c r="K1034" s="22"/>
    </row>
    <row r="1035" spans="1:11" x14ac:dyDescent="0.2">
      <c r="A1035" s="15">
        <v>1029</v>
      </c>
      <c r="B1035" s="20">
        <v>740410</v>
      </c>
      <c r="C1035" s="21" t="s">
        <v>534</v>
      </c>
      <c r="D1035" s="22"/>
      <c r="E1035" s="22">
        <f t="shared" si="48"/>
        <v>0</v>
      </c>
      <c r="F1035" s="22"/>
      <c r="G1035" s="22"/>
      <c r="H1035" s="22"/>
      <c r="I1035" s="22">
        <f t="shared" si="49"/>
        <v>0</v>
      </c>
      <c r="J1035" s="22">
        <f t="shared" si="50"/>
        <v>0</v>
      </c>
      <c r="K1035" s="22"/>
    </row>
    <row r="1036" spans="1:11" x14ac:dyDescent="0.2">
      <c r="A1036" s="15">
        <v>1030</v>
      </c>
      <c r="B1036" s="20">
        <v>7406</v>
      </c>
      <c r="C1036" s="21" t="s">
        <v>545</v>
      </c>
      <c r="D1036" s="22">
        <v>0</v>
      </c>
      <c r="E1036" s="22">
        <f t="shared" si="48"/>
        <v>0</v>
      </c>
      <c r="F1036" s="22">
        <v>0</v>
      </c>
      <c r="G1036" s="22">
        <v>0</v>
      </c>
      <c r="H1036" s="22">
        <v>0</v>
      </c>
      <c r="I1036" s="22">
        <f t="shared" si="49"/>
        <v>0</v>
      </c>
      <c r="J1036" s="22">
        <f t="shared" si="50"/>
        <v>0</v>
      </c>
      <c r="K1036" s="22">
        <v>0</v>
      </c>
    </row>
    <row r="1037" spans="1:11" x14ac:dyDescent="0.2">
      <c r="A1037" s="15">
        <v>1031</v>
      </c>
      <c r="B1037" s="20">
        <v>740605</v>
      </c>
      <c r="C1037" s="21" t="s">
        <v>245</v>
      </c>
      <c r="D1037" s="22">
        <v>0</v>
      </c>
      <c r="E1037" s="22">
        <f t="shared" si="48"/>
        <v>0</v>
      </c>
      <c r="F1037" s="22">
        <v>0</v>
      </c>
      <c r="G1037" s="22">
        <v>0</v>
      </c>
      <c r="H1037" s="22">
        <v>0</v>
      </c>
      <c r="I1037" s="22">
        <f t="shared" si="49"/>
        <v>0</v>
      </c>
      <c r="J1037" s="22">
        <f t="shared" si="50"/>
        <v>0</v>
      </c>
      <c r="K1037" s="22">
        <v>0</v>
      </c>
    </row>
    <row r="1038" spans="1:11" x14ac:dyDescent="0.2">
      <c r="A1038" s="15">
        <v>1032</v>
      </c>
      <c r="B1038" s="20">
        <v>740610</v>
      </c>
      <c r="C1038" s="21" t="s">
        <v>154</v>
      </c>
      <c r="D1038" s="22">
        <v>0</v>
      </c>
      <c r="E1038" s="22">
        <f t="shared" si="48"/>
        <v>0</v>
      </c>
      <c r="F1038" s="22">
        <v>0</v>
      </c>
      <c r="G1038" s="22">
        <v>0</v>
      </c>
      <c r="H1038" s="22">
        <v>0</v>
      </c>
      <c r="I1038" s="22">
        <f t="shared" si="49"/>
        <v>0</v>
      </c>
      <c r="J1038" s="22">
        <f t="shared" si="50"/>
        <v>0</v>
      </c>
      <c r="K1038" s="22">
        <v>0</v>
      </c>
    </row>
    <row r="1039" spans="1:11" x14ac:dyDescent="0.2">
      <c r="A1039" s="15">
        <v>1033</v>
      </c>
      <c r="B1039" s="20">
        <v>740615</v>
      </c>
      <c r="C1039" s="21" t="s">
        <v>155</v>
      </c>
      <c r="D1039" s="22"/>
      <c r="E1039" s="22">
        <f t="shared" si="48"/>
        <v>0</v>
      </c>
      <c r="F1039" s="22"/>
      <c r="G1039" s="22">
        <v>0</v>
      </c>
      <c r="H1039" s="22">
        <v>0</v>
      </c>
      <c r="I1039" s="22">
        <f t="shared" si="49"/>
        <v>0</v>
      </c>
      <c r="J1039" s="22">
        <f t="shared" si="50"/>
        <v>0</v>
      </c>
      <c r="K1039" s="22"/>
    </row>
    <row r="1040" spans="1:11" x14ac:dyDescent="0.2">
      <c r="A1040" s="15">
        <v>1034</v>
      </c>
      <c r="B1040" s="20">
        <v>740620</v>
      </c>
      <c r="C1040" s="21" t="s">
        <v>255</v>
      </c>
      <c r="D1040" s="22">
        <v>0</v>
      </c>
      <c r="E1040" s="22">
        <f t="shared" si="48"/>
        <v>0</v>
      </c>
      <c r="F1040" s="22">
        <v>0</v>
      </c>
      <c r="G1040" s="22">
        <v>0</v>
      </c>
      <c r="H1040" s="22">
        <v>0</v>
      </c>
      <c r="I1040" s="22">
        <f t="shared" si="49"/>
        <v>0</v>
      </c>
      <c r="J1040" s="22">
        <f t="shared" si="50"/>
        <v>0</v>
      </c>
      <c r="K1040" s="22">
        <v>0</v>
      </c>
    </row>
    <row r="1041" spans="1:11" x14ac:dyDescent="0.2">
      <c r="A1041" s="15">
        <v>1035</v>
      </c>
      <c r="B1041" s="20">
        <v>740625</v>
      </c>
      <c r="C1041" s="21" t="s">
        <v>546</v>
      </c>
      <c r="D1041" s="22">
        <v>0</v>
      </c>
      <c r="E1041" s="22">
        <f t="shared" si="48"/>
        <v>0</v>
      </c>
      <c r="F1041" s="22">
        <v>0</v>
      </c>
      <c r="G1041" s="22">
        <v>0</v>
      </c>
      <c r="H1041" s="22">
        <v>0</v>
      </c>
      <c r="I1041" s="22">
        <f t="shared" si="49"/>
        <v>0</v>
      </c>
      <c r="J1041" s="22">
        <f t="shared" si="50"/>
        <v>0</v>
      </c>
      <c r="K1041" s="22">
        <v>0</v>
      </c>
    </row>
    <row r="1042" spans="1:11" x14ac:dyDescent="0.2">
      <c r="A1042" s="15">
        <v>1036</v>
      </c>
      <c r="B1042" s="20">
        <v>740630</v>
      </c>
      <c r="C1042" s="21" t="s">
        <v>257</v>
      </c>
      <c r="D1042" s="22">
        <v>0</v>
      </c>
      <c r="E1042" s="22">
        <f t="shared" si="48"/>
        <v>0</v>
      </c>
      <c r="F1042" s="22">
        <v>0</v>
      </c>
      <c r="G1042" s="22">
        <v>0</v>
      </c>
      <c r="H1042" s="22">
        <v>0</v>
      </c>
      <c r="I1042" s="22">
        <f t="shared" si="49"/>
        <v>0</v>
      </c>
      <c r="J1042" s="22">
        <f t="shared" si="50"/>
        <v>0</v>
      </c>
      <c r="K1042" s="22">
        <v>0</v>
      </c>
    </row>
    <row r="1043" spans="1:11" x14ac:dyDescent="0.2">
      <c r="A1043" s="15">
        <v>1037</v>
      </c>
      <c r="B1043" s="20">
        <v>740635</v>
      </c>
      <c r="C1043" s="21" t="s">
        <v>156</v>
      </c>
      <c r="D1043" s="22"/>
      <c r="E1043" s="22">
        <f t="shared" si="48"/>
        <v>0</v>
      </c>
      <c r="F1043" s="22"/>
      <c r="G1043" s="22"/>
      <c r="H1043" s="22"/>
      <c r="I1043" s="22">
        <f t="shared" si="49"/>
        <v>0</v>
      </c>
      <c r="J1043" s="22">
        <f t="shared" si="50"/>
        <v>0</v>
      </c>
      <c r="K1043" s="22"/>
    </row>
    <row r="1044" spans="1:11" x14ac:dyDescent="0.2">
      <c r="A1044" s="15">
        <v>1038</v>
      </c>
      <c r="B1044" s="20">
        <v>7407</v>
      </c>
      <c r="C1044" s="21" t="s">
        <v>547</v>
      </c>
      <c r="D1044" s="22">
        <v>112500</v>
      </c>
      <c r="E1044" s="22">
        <f t="shared" si="48"/>
        <v>112500</v>
      </c>
      <c r="F1044" s="22">
        <v>0</v>
      </c>
      <c r="G1044" s="22">
        <v>0</v>
      </c>
      <c r="H1044" s="22">
        <v>0</v>
      </c>
      <c r="I1044" s="22">
        <f t="shared" si="49"/>
        <v>0</v>
      </c>
      <c r="J1044" s="22">
        <f t="shared" si="50"/>
        <v>112500</v>
      </c>
      <c r="K1044" s="22"/>
    </row>
    <row r="1045" spans="1:11" x14ac:dyDescent="0.2">
      <c r="A1045" s="15">
        <v>1039</v>
      </c>
      <c r="B1045" s="20">
        <v>740705</v>
      </c>
      <c r="C1045" s="21" t="s">
        <v>548</v>
      </c>
      <c r="D1045" s="22"/>
      <c r="E1045" s="22">
        <f t="shared" si="48"/>
        <v>0</v>
      </c>
      <c r="F1045" s="22"/>
      <c r="G1045" s="22">
        <v>0</v>
      </c>
      <c r="H1045" s="22"/>
      <c r="I1045" s="22">
        <f t="shared" si="49"/>
        <v>0</v>
      </c>
      <c r="J1045" s="22">
        <f t="shared" si="50"/>
        <v>0</v>
      </c>
      <c r="K1045" s="22"/>
    </row>
    <row r="1046" spans="1:11" x14ac:dyDescent="0.2">
      <c r="A1046" s="15">
        <v>1040</v>
      </c>
      <c r="B1046" s="20">
        <v>740710</v>
      </c>
      <c r="C1046" s="21" t="s">
        <v>302</v>
      </c>
      <c r="D1046" s="22">
        <v>0</v>
      </c>
      <c r="E1046" s="22">
        <f t="shared" si="48"/>
        <v>0</v>
      </c>
      <c r="F1046" s="22"/>
      <c r="G1046" s="22">
        <v>0</v>
      </c>
      <c r="H1046" s="22"/>
      <c r="I1046" s="22">
        <f t="shared" si="49"/>
        <v>0</v>
      </c>
      <c r="J1046" s="22">
        <f t="shared" si="50"/>
        <v>0</v>
      </c>
      <c r="K1046" s="22"/>
    </row>
    <row r="1047" spans="1:11" x14ac:dyDescent="0.2">
      <c r="A1047" s="15">
        <v>1041</v>
      </c>
      <c r="B1047" s="20">
        <v>740715</v>
      </c>
      <c r="C1047" s="21" t="s">
        <v>303</v>
      </c>
      <c r="D1047" s="22">
        <v>0</v>
      </c>
      <c r="E1047" s="22">
        <f t="shared" si="48"/>
        <v>0</v>
      </c>
      <c r="F1047" s="22">
        <v>0</v>
      </c>
      <c r="G1047" s="22">
        <v>0</v>
      </c>
      <c r="H1047" s="22">
        <v>0</v>
      </c>
      <c r="I1047" s="22">
        <f t="shared" si="49"/>
        <v>0</v>
      </c>
      <c r="J1047" s="22">
        <f t="shared" si="50"/>
        <v>0</v>
      </c>
      <c r="K1047" s="22"/>
    </row>
    <row r="1048" spans="1:11" x14ac:dyDescent="0.2">
      <c r="A1048" s="15">
        <v>1042</v>
      </c>
      <c r="B1048" s="20">
        <v>740720</v>
      </c>
      <c r="C1048" s="21" t="s">
        <v>307</v>
      </c>
      <c r="D1048" s="22">
        <v>0</v>
      </c>
      <c r="E1048" s="22">
        <f t="shared" si="48"/>
        <v>0</v>
      </c>
      <c r="F1048" s="22">
        <v>0</v>
      </c>
      <c r="G1048" s="22">
        <v>0</v>
      </c>
      <c r="H1048" s="22">
        <v>0</v>
      </c>
      <c r="I1048" s="22">
        <f t="shared" si="49"/>
        <v>0</v>
      </c>
      <c r="J1048" s="22">
        <f t="shared" si="50"/>
        <v>0</v>
      </c>
      <c r="K1048" s="22"/>
    </row>
    <row r="1049" spans="1:11" x14ac:dyDescent="0.2">
      <c r="A1049" s="15">
        <v>1043</v>
      </c>
      <c r="B1049" s="20">
        <v>740725</v>
      </c>
      <c r="C1049" s="21" t="s">
        <v>311</v>
      </c>
      <c r="D1049" s="22">
        <v>112500</v>
      </c>
      <c r="E1049" s="22">
        <f t="shared" si="48"/>
        <v>112500</v>
      </c>
      <c r="F1049" s="22">
        <v>0</v>
      </c>
      <c r="G1049" s="22">
        <v>0</v>
      </c>
      <c r="H1049" s="22">
        <v>0</v>
      </c>
      <c r="I1049" s="22">
        <f t="shared" si="49"/>
        <v>0</v>
      </c>
      <c r="J1049" s="22">
        <f t="shared" si="50"/>
        <v>112500</v>
      </c>
      <c r="K1049" s="22"/>
    </row>
    <row r="1050" spans="1:11" x14ac:dyDescent="0.2">
      <c r="A1050" s="15">
        <v>1044</v>
      </c>
      <c r="B1050" s="20">
        <v>740730</v>
      </c>
      <c r="C1050" s="21" t="s">
        <v>305</v>
      </c>
      <c r="D1050" s="22">
        <v>0</v>
      </c>
      <c r="E1050" s="22">
        <f t="shared" si="48"/>
        <v>0</v>
      </c>
      <c r="F1050" s="22">
        <v>0</v>
      </c>
      <c r="G1050" s="22">
        <v>0</v>
      </c>
      <c r="H1050" s="22">
        <v>0</v>
      </c>
      <c r="I1050" s="22">
        <f t="shared" si="49"/>
        <v>0</v>
      </c>
      <c r="J1050" s="22">
        <f t="shared" si="50"/>
        <v>0</v>
      </c>
      <c r="K1050" s="22"/>
    </row>
    <row r="1051" spans="1:11" x14ac:dyDescent="0.2">
      <c r="A1051" s="15">
        <v>1045</v>
      </c>
      <c r="B1051" s="20">
        <v>7408</v>
      </c>
      <c r="C1051" s="21" t="s">
        <v>549</v>
      </c>
      <c r="D1051" s="22">
        <v>0</v>
      </c>
      <c r="E1051" s="22">
        <f t="shared" si="48"/>
        <v>0</v>
      </c>
      <c r="F1051" s="22">
        <v>0</v>
      </c>
      <c r="G1051" s="22">
        <v>0</v>
      </c>
      <c r="H1051" s="22">
        <v>400000</v>
      </c>
      <c r="I1051" s="22">
        <f t="shared" si="49"/>
        <v>400000</v>
      </c>
      <c r="J1051" s="22">
        <f t="shared" si="50"/>
        <v>400000</v>
      </c>
      <c r="K1051" s="22">
        <v>0</v>
      </c>
    </row>
    <row r="1052" spans="1:11" x14ac:dyDescent="0.2">
      <c r="A1052" s="15">
        <v>1046</v>
      </c>
      <c r="B1052" s="20">
        <v>740805</v>
      </c>
      <c r="C1052" s="21" t="s">
        <v>550</v>
      </c>
      <c r="D1052" s="22">
        <v>0</v>
      </c>
      <c r="E1052" s="22">
        <f t="shared" si="48"/>
        <v>0</v>
      </c>
      <c r="F1052" s="22">
        <v>0</v>
      </c>
      <c r="G1052" s="22">
        <v>0</v>
      </c>
      <c r="H1052" s="22">
        <v>400000</v>
      </c>
      <c r="I1052" s="22">
        <f t="shared" si="49"/>
        <v>400000</v>
      </c>
      <c r="J1052" s="22">
        <f t="shared" si="50"/>
        <v>400000</v>
      </c>
      <c r="K1052" s="22">
        <v>0</v>
      </c>
    </row>
    <row r="1053" spans="1:11" x14ac:dyDescent="0.2">
      <c r="A1053" s="15">
        <v>1047</v>
      </c>
      <c r="B1053" s="20">
        <v>740810</v>
      </c>
      <c r="C1053" s="21" t="s">
        <v>551</v>
      </c>
      <c r="D1053" s="22"/>
      <c r="E1053" s="22">
        <f t="shared" si="48"/>
        <v>0</v>
      </c>
      <c r="F1053" s="22"/>
      <c r="G1053" s="22"/>
      <c r="H1053" s="22"/>
      <c r="I1053" s="22">
        <f t="shared" si="49"/>
        <v>0</v>
      </c>
      <c r="J1053" s="22">
        <f t="shared" si="50"/>
        <v>0</v>
      </c>
      <c r="K1053" s="22"/>
    </row>
    <row r="1054" spans="1:11" x14ac:dyDescent="0.2">
      <c r="A1054" s="15">
        <v>1048</v>
      </c>
      <c r="B1054" s="20">
        <v>740815</v>
      </c>
      <c r="C1054" s="21" t="s">
        <v>552</v>
      </c>
      <c r="D1054" s="22">
        <v>0</v>
      </c>
      <c r="E1054" s="22">
        <f t="shared" si="48"/>
        <v>0</v>
      </c>
      <c r="F1054" s="22">
        <v>0</v>
      </c>
      <c r="G1054" s="22">
        <v>0</v>
      </c>
      <c r="H1054" s="22">
        <v>0</v>
      </c>
      <c r="I1054" s="22">
        <f t="shared" si="49"/>
        <v>0</v>
      </c>
      <c r="J1054" s="22">
        <f t="shared" si="50"/>
        <v>0</v>
      </c>
      <c r="K1054" s="22">
        <v>0</v>
      </c>
    </row>
    <row r="1055" spans="1:11" x14ac:dyDescent="0.2">
      <c r="A1055" s="15">
        <v>1049</v>
      </c>
      <c r="B1055" s="20">
        <v>740820</v>
      </c>
      <c r="C1055" s="21" t="s">
        <v>553</v>
      </c>
      <c r="D1055" s="22">
        <v>0</v>
      </c>
      <c r="E1055" s="22">
        <f t="shared" si="48"/>
        <v>0</v>
      </c>
      <c r="F1055" s="22">
        <v>0</v>
      </c>
      <c r="G1055" s="22">
        <v>0</v>
      </c>
      <c r="H1055" s="22">
        <v>0</v>
      </c>
      <c r="I1055" s="22">
        <f t="shared" si="49"/>
        <v>0</v>
      </c>
      <c r="J1055" s="22">
        <f t="shared" si="50"/>
        <v>0</v>
      </c>
      <c r="K1055" s="22">
        <v>0</v>
      </c>
    </row>
    <row r="1056" spans="1:11" x14ac:dyDescent="0.2">
      <c r="A1056" s="15">
        <v>1050</v>
      </c>
      <c r="B1056" s="20">
        <v>740825</v>
      </c>
      <c r="C1056" s="21" t="s">
        <v>554</v>
      </c>
      <c r="D1056" s="22">
        <v>0</v>
      </c>
      <c r="E1056" s="22">
        <f t="shared" si="48"/>
        <v>0</v>
      </c>
      <c r="F1056" s="22">
        <v>0</v>
      </c>
      <c r="G1056" s="22">
        <v>0</v>
      </c>
      <c r="H1056" s="22">
        <v>0</v>
      </c>
      <c r="I1056" s="22">
        <f t="shared" si="49"/>
        <v>0</v>
      </c>
      <c r="J1056" s="22">
        <f t="shared" si="50"/>
        <v>0</v>
      </c>
      <c r="K1056" s="22">
        <v>0</v>
      </c>
    </row>
    <row r="1057" spans="1:11" x14ac:dyDescent="0.2">
      <c r="A1057" s="15">
        <v>1051</v>
      </c>
      <c r="B1057" s="20">
        <v>7409</v>
      </c>
      <c r="C1057" s="21" t="s">
        <v>555</v>
      </c>
      <c r="D1057" s="22"/>
      <c r="E1057" s="22">
        <f t="shared" si="48"/>
        <v>0</v>
      </c>
      <c r="F1057" s="22"/>
      <c r="G1057" s="22"/>
      <c r="H1057" s="22">
        <v>1070654.4657699999</v>
      </c>
      <c r="I1057" s="22">
        <f t="shared" si="49"/>
        <v>1070654.4657699999</v>
      </c>
      <c r="J1057" s="22">
        <f t="shared" si="50"/>
        <v>1070654.4657699999</v>
      </c>
      <c r="K1057" s="22"/>
    </row>
    <row r="1058" spans="1:11" x14ac:dyDescent="0.2">
      <c r="A1058" s="15">
        <v>1052</v>
      </c>
      <c r="B1058" s="20">
        <v>7410</v>
      </c>
      <c r="C1058" s="21" t="s">
        <v>556</v>
      </c>
      <c r="D1058" s="22">
        <v>0</v>
      </c>
      <c r="E1058" s="22">
        <f t="shared" si="48"/>
        <v>0</v>
      </c>
      <c r="F1058" s="22">
        <v>0</v>
      </c>
      <c r="G1058" s="22">
        <v>0</v>
      </c>
      <c r="H1058" s="22">
        <v>100000</v>
      </c>
      <c r="I1058" s="22">
        <f t="shared" si="49"/>
        <v>100000</v>
      </c>
      <c r="J1058" s="22">
        <f t="shared" si="50"/>
        <v>100000</v>
      </c>
      <c r="K1058" s="22">
        <v>0</v>
      </c>
    </row>
    <row r="1059" spans="1:11" x14ac:dyDescent="0.2">
      <c r="A1059" s="15">
        <v>1053</v>
      </c>
      <c r="B1059" s="20">
        <v>7411</v>
      </c>
      <c r="C1059" s="21" t="s">
        <v>557</v>
      </c>
      <c r="D1059" s="22">
        <v>0</v>
      </c>
      <c r="E1059" s="22">
        <f t="shared" si="48"/>
        <v>0</v>
      </c>
      <c r="F1059" s="22"/>
      <c r="G1059" s="22"/>
      <c r="H1059" s="22">
        <v>0</v>
      </c>
      <c r="I1059" s="22">
        <f t="shared" si="49"/>
        <v>0</v>
      </c>
      <c r="J1059" s="22">
        <f t="shared" si="50"/>
        <v>0</v>
      </c>
      <c r="K1059" s="22"/>
    </row>
    <row r="1060" spans="1:11" x14ac:dyDescent="0.2">
      <c r="A1060" s="15">
        <v>1054</v>
      </c>
      <c r="B1060" s="20">
        <v>741105</v>
      </c>
      <c r="C1060" s="21" t="s">
        <v>295</v>
      </c>
      <c r="D1060" s="22">
        <v>0</v>
      </c>
      <c r="E1060" s="22">
        <f t="shared" si="48"/>
        <v>0</v>
      </c>
      <c r="F1060" s="22"/>
      <c r="G1060" s="22"/>
      <c r="H1060" s="22"/>
      <c r="I1060" s="22">
        <f t="shared" si="49"/>
        <v>0</v>
      </c>
      <c r="J1060" s="22">
        <f t="shared" si="50"/>
        <v>0</v>
      </c>
      <c r="K1060" s="22"/>
    </row>
    <row r="1061" spans="1:11" x14ac:dyDescent="0.2">
      <c r="A1061" s="15">
        <v>1055</v>
      </c>
      <c r="B1061" s="20">
        <v>741110</v>
      </c>
      <c r="C1061" s="21" t="s">
        <v>307</v>
      </c>
      <c r="D1061" s="22">
        <v>0</v>
      </c>
      <c r="E1061" s="22">
        <f t="shared" si="48"/>
        <v>0</v>
      </c>
      <c r="F1061" s="22"/>
      <c r="G1061" s="22"/>
      <c r="H1061" s="22">
        <v>0</v>
      </c>
      <c r="I1061" s="22">
        <f t="shared" si="49"/>
        <v>0</v>
      </c>
      <c r="J1061" s="22">
        <f t="shared" si="50"/>
        <v>0</v>
      </c>
      <c r="K1061" s="22"/>
    </row>
    <row r="1062" spans="1:11" x14ac:dyDescent="0.2">
      <c r="A1062" s="15">
        <v>1056</v>
      </c>
      <c r="B1062" s="20">
        <v>741115</v>
      </c>
      <c r="C1062" s="21" t="s">
        <v>311</v>
      </c>
      <c r="D1062" s="22">
        <v>0</v>
      </c>
      <c r="E1062" s="22">
        <f t="shared" si="48"/>
        <v>0</v>
      </c>
      <c r="F1062" s="22"/>
      <c r="G1062" s="22"/>
      <c r="H1062" s="22">
        <v>0</v>
      </c>
      <c r="I1062" s="22">
        <f t="shared" si="49"/>
        <v>0</v>
      </c>
      <c r="J1062" s="22">
        <f t="shared" si="50"/>
        <v>0</v>
      </c>
      <c r="K1062" s="22"/>
    </row>
    <row r="1063" spans="1:11" x14ac:dyDescent="0.2">
      <c r="A1063" s="15">
        <v>1057</v>
      </c>
      <c r="B1063" s="20">
        <v>741120</v>
      </c>
      <c r="C1063" s="21" t="s">
        <v>510</v>
      </c>
      <c r="D1063" s="22">
        <v>0</v>
      </c>
      <c r="E1063" s="22">
        <f t="shared" si="48"/>
        <v>0</v>
      </c>
      <c r="F1063" s="22"/>
      <c r="G1063" s="22"/>
      <c r="H1063" s="22">
        <v>0</v>
      </c>
      <c r="I1063" s="22">
        <f t="shared" si="49"/>
        <v>0</v>
      </c>
      <c r="J1063" s="22">
        <f t="shared" si="50"/>
        <v>0</v>
      </c>
      <c r="K1063" s="22"/>
    </row>
    <row r="1064" spans="1:11" x14ac:dyDescent="0.2">
      <c r="A1064" s="15">
        <v>1058</v>
      </c>
      <c r="B1064" s="20">
        <v>741125</v>
      </c>
      <c r="C1064" s="21" t="s">
        <v>534</v>
      </c>
      <c r="D1064" s="22">
        <v>0</v>
      </c>
      <c r="E1064" s="22">
        <f t="shared" si="48"/>
        <v>0</v>
      </c>
      <c r="F1064" s="22"/>
      <c r="G1064" s="22"/>
      <c r="H1064" s="22">
        <v>0</v>
      </c>
      <c r="I1064" s="22">
        <f t="shared" si="49"/>
        <v>0</v>
      </c>
      <c r="J1064" s="22">
        <f t="shared" si="50"/>
        <v>0</v>
      </c>
      <c r="K1064" s="22"/>
    </row>
    <row r="1065" spans="1:11" x14ac:dyDescent="0.2">
      <c r="A1065" s="15">
        <v>1059</v>
      </c>
      <c r="B1065" s="20">
        <v>741130</v>
      </c>
      <c r="C1065" s="21" t="s">
        <v>558</v>
      </c>
      <c r="D1065" s="22">
        <v>0</v>
      </c>
      <c r="E1065" s="22">
        <f t="shared" si="48"/>
        <v>0</v>
      </c>
      <c r="F1065" s="22"/>
      <c r="G1065" s="22"/>
      <c r="H1065" s="22">
        <v>0</v>
      </c>
      <c r="I1065" s="22">
        <f t="shared" si="49"/>
        <v>0</v>
      </c>
      <c r="J1065" s="22">
        <f t="shared" si="50"/>
        <v>0</v>
      </c>
      <c r="K1065" s="22"/>
    </row>
    <row r="1066" spans="1:11" x14ac:dyDescent="0.2">
      <c r="A1066" s="15">
        <v>1060</v>
      </c>
      <c r="B1066" s="20">
        <v>741135</v>
      </c>
      <c r="C1066" s="21" t="s">
        <v>330</v>
      </c>
      <c r="D1066" s="22">
        <v>0</v>
      </c>
      <c r="E1066" s="22">
        <f t="shared" si="48"/>
        <v>0</v>
      </c>
      <c r="F1066" s="22"/>
      <c r="G1066" s="22"/>
      <c r="H1066" s="22">
        <v>0</v>
      </c>
      <c r="I1066" s="22">
        <f t="shared" si="49"/>
        <v>0</v>
      </c>
      <c r="J1066" s="22">
        <f t="shared" si="50"/>
        <v>0</v>
      </c>
      <c r="K1066" s="22"/>
    </row>
    <row r="1067" spans="1:11" x14ac:dyDescent="0.2">
      <c r="A1067" s="15">
        <v>1061</v>
      </c>
      <c r="B1067" s="20">
        <v>741140</v>
      </c>
      <c r="C1067" s="21" t="s">
        <v>539</v>
      </c>
      <c r="D1067" s="22">
        <v>0</v>
      </c>
      <c r="E1067" s="22">
        <f t="shared" si="48"/>
        <v>0</v>
      </c>
      <c r="F1067" s="22"/>
      <c r="G1067" s="22"/>
      <c r="H1067" s="22">
        <v>0</v>
      </c>
      <c r="I1067" s="22">
        <f t="shared" si="49"/>
        <v>0</v>
      </c>
      <c r="J1067" s="22">
        <f t="shared" si="50"/>
        <v>0</v>
      </c>
      <c r="K1067" s="22"/>
    </row>
    <row r="1068" spans="1:11" x14ac:dyDescent="0.2">
      <c r="A1068" s="15">
        <v>1062</v>
      </c>
      <c r="B1068" s="20">
        <v>7414</v>
      </c>
      <c r="C1068" s="21" t="s">
        <v>559</v>
      </c>
      <c r="D1068" s="22">
        <v>2949.35374</v>
      </c>
      <c r="E1068" s="22">
        <f t="shared" si="48"/>
        <v>2949.35374</v>
      </c>
      <c r="F1068" s="22">
        <v>1691.9874600000001</v>
      </c>
      <c r="G1068" s="22">
        <v>30670.350549999999</v>
      </c>
      <c r="H1068" s="22">
        <v>27518.648639999999</v>
      </c>
      <c r="I1068" s="22">
        <f t="shared" si="49"/>
        <v>59880.986649999999</v>
      </c>
      <c r="J1068" s="22">
        <f t="shared" si="50"/>
        <v>62830.340389999998</v>
      </c>
      <c r="K1068" s="22">
        <v>4478.4070000000002</v>
      </c>
    </row>
    <row r="1069" spans="1:11" x14ac:dyDescent="0.2">
      <c r="A1069" s="15">
        <v>1063</v>
      </c>
      <c r="B1069" s="20">
        <v>741401</v>
      </c>
      <c r="C1069" s="21" t="s">
        <v>560</v>
      </c>
      <c r="D1069" s="22">
        <v>7.5570599999999999</v>
      </c>
      <c r="E1069" s="22">
        <f t="shared" si="48"/>
        <v>7.5570599999999999</v>
      </c>
      <c r="F1069" s="22"/>
      <c r="G1069" s="22">
        <v>0</v>
      </c>
      <c r="H1069" s="22">
        <v>0</v>
      </c>
      <c r="I1069" s="22">
        <f t="shared" si="49"/>
        <v>0</v>
      </c>
      <c r="J1069" s="22">
        <f t="shared" si="50"/>
        <v>7.5570599999999999</v>
      </c>
      <c r="K1069" s="22"/>
    </row>
    <row r="1070" spans="1:11" x14ac:dyDescent="0.2">
      <c r="A1070" s="15">
        <v>1064</v>
      </c>
      <c r="B1070" s="20">
        <v>741402</v>
      </c>
      <c r="C1070" s="21" t="s">
        <v>561</v>
      </c>
      <c r="D1070" s="22">
        <v>0</v>
      </c>
      <c r="E1070" s="22">
        <f t="shared" si="48"/>
        <v>0</v>
      </c>
      <c r="F1070" s="22">
        <v>0</v>
      </c>
      <c r="G1070" s="22">
        <v>0</v>
      </c>
      <c r="H1070" s="22">
        <v>0</v>
      </c>
      <c r="I1070" s="22">
        <f t="shared" si="49"/>
        <v>0</v>
      </c>
      <c r="J1070" s="22">
        <f t="shared" si="50"/>
        <v>0</v>
      </c>
      <c r="K1070" s="22"/>
    </row>
    <row r="1071" spans="1:11" x14ac:dyDescent="0.2">
      <c r="A1071" s="15">
        <v>1065</v>
      </c>
      <c r="B1071" s="20">
        <v>741403</v>
      </c>
      <c r="C1071" s="21" t="s">
        <v>562</v>
      </c>
      <c r="D1071" s="22">
        <v>0</v>
      </c>
      <c r="E1071" s="22">
        <f t="shared" si="48"/>
        <v>0</v>
      </c>
      <c r="F1071" s="22"/>
      <c r="G1071" s="22"/>
      <c r="H1071" s="22"/>
      <c r="I1071" s="22">
        <f t="shared" si="49"/>
        <v>0</v>
      </c>
      <c r="J1071" s="22">
        <f t="shared" si="50"/>
        <v>0</v>
      </c>
      <c r="K1071" s="22"/>
    </row>
    <row r="1072" spans="1:11" x14ac:dyDescent="0.2">
      <c r="A1072" s="15">
        <v>1066</v>
      </c>
      <c r="B1072" s="20">
        <v>741404</v>
      </c>
      <c r="C1072" s="21" t="s">
        <v>563</v>
      </c>
      <c r="D1072" s="22"/>
      <c r="E1072" s="22">
        <f t="shared" si="48"/>
        <v>0</v>
      </c>
      <c r="F1072" s="22"/>
      <c r="G1072" s="22">
        <v>0</v>
      </c>
      <c r="H1072" s="22">
        <v>0</v>
      </c>
      <c r="I1072" s="22">
        <f t="shared" si="49"/>
        <v>0</v>
      </c>
      <c r="J1072" s="22">
        <f t="shared" si="50"/>
        <v>0</v>
      </c>
      <c r="K1072" s="22"/>
    </row>
    <row r="1073" spans="1:11" x14ac:dyDescent="0.2">
      <c r="A1073" s="15">
        <v>1067</v>
      </c>
      <c r="B1073" s="20">
        <v>741405</v>
      </c>
      <c r="C1073" s="21" t="s">
        <v>564</v>
      </c>
      <c r="D1073" s="22"/>
      <c r="E1073" s="22">
        <f t="shared" si="48"/>
        <v>0</v>
      </c>
      <c r="F1073" s="22"/>
      <c r="G1073" s="22"/>
      <c r="H1073" s="22"/>
      <c r="I1073" s="22">
        <f t="shared" si="49"/>
        <v>0</v>
      </c>
      <c r="J1073" s="22">
        <f t="shared" si="50"/>
        <v>0</v>
      </c>
      <c r="K1073" s="22">
        <v>0</v>
      </c>
    </row>
    <row r="1074" spans="1:11" x14ac:dyDescent="0.2">
      <c r="A1074" s="15">
        <v>1068</v>
      </c>
      <c r="B1074" s="20">
        <v>741406</v>
      </c>
      <c r="C1074" s="21" t="s">
        <v>565</v>
      </c>
      <c r="D1074" s="22"/>
      <c r="E1074" s="22">
        <f t="shared" si="48"/>
        <v>0</v>
      </c>
      <c r="F1074" s="22">
        <v>0</v>
      </c>
      <c r="G1074" s="22"/>
      <c r="H1074" s="22"/>
      <c r="I1074" s="22">
        <f t="shared" si="49"/>
        <v>0</v>
      </c>
      <c r="J1074" s="22">
        <f t="shared" si="50"/>
        <v>0</v>
      </c>
      <c r="K1074" s="22"/>
    </row>
    <row r="1075" spans="1:11" x14ac:dyDescent="0.2">
      <c r="A1075" s="15">
        <v>1069</v>
      </c>
      <c r="B1075" s="20">
        <v>741409</v>
      </c>
      <c r="C1075" s="21" t="s">
        <v>566</v>
      </c>
      <c r="D1075" s="22">
        <v>0</v>
      </c>
      <c r="E1075" s="22">
        <f t="shared" si="48"/>
        <v>0</v>
      </c>
      <c r="F1075" s="22"/>
      <c r="G1075" s="22">
        <v>30178.419160000001</v>
      </c>
      <c r="H1075" s="22">
        <v>1544.4836700000001</v>
      </c>
      <c r="I1075" s="22">
        <f t="shared" si="49"/>
        <v>31722.902830000003</v>
      </c>
      <c r="J1075" s="22">
        <f t="shared" si="50"/>
        <v>31722.902830000003</v>
      </c>
      <c r="K1075" s="22"/>
    </row>
    <row r="1076" spans="1:11" x14ac:dyDescent="0.2">
      <c r="A1076" s="15">
        <v>1070</v>
      </c>
      <c r="B1076" s="20">
        <v>741410</v>
      </c>
      <c r="C1076" s="21" t="s">
        <v>567</v>
      </c>
      <c r="D1076" s="22">
        <v>0</v>
      </c>
      <c r="E1076" s="22">
        <f t="shared" si="48"/>
        <v>0</v>
      </c>
      <c r="F1076" s="22">
        <v>0</v>
      </c>
      <c r="G1076" s="22">
        <v>163.90477000000001</v>
      </c>
      <c r="H1076" s="22">
        <v>0</v>
      </c>
      <c r="I1076" s="22">
        <f t="shared" si="49"/>
        <v>163.90477000000001</v>
      </c>
      <c r="J1076" s="22">
        <f t="shared" si="50"/>
        <v>163.90477000000001</v>
      </c>
      <c r="K1076" s="22"/>
    </row>
    <row r="1077" spans="1:11" x14ac:dyDescent="0.2">
      <c r="A1077" s="15">
        <v>1071</v>
      </c>
      <c r="B1077" s="20">
        <v>741411</v>
      </c>
      <c r="C1077" s="21" t="s">
        <v>568</v>
      </c>
      <c r="D1077" s="22">
        <v>626.38383999999996</v>
      </c>
      <c r="E1077" s="22">
        <f t="shared" si="48"/>
        <v>626.38383999999996</v>
      </c>
      <c r="F1077" s="22"/>
      <c r="G1077" s="22"/>
      <c r="H1077" s="22"/>
      <c r="I1077" s="22">
        <f t="shared" si="49"/>
        <v>0</v>
      </c>
      <c r="J1077" s="22">
        <f t="shared" si="50"/>
        <v>626.38383999999996</v>
      </c>
      <c r="K1077" s="22"/>
    </row>
    <row r="1078" spans="1:11" x14ac:dyDescent="0.2">
      <c r="A1078" s="15">
        <v>1072</v>
      </c>
      <c r="B1078" s="20">
        <v>741412</v>
      </c>
      <c r="C1078" s="21" t="s">
        <v>569</v>
      </c>
      <c r="D1078" s="22"/>
      <c r="E1078" s="22">
        <f t="shared" si="48"/>
        <v>0</v>
      </c>
      <c r="F1078" s="22"/>
      <c r="G1078" s="22">
        <v>328.02661999999998</v>
      </c>
      <c r="H1078" s="22">
        <v>0</v>
      </c>
      <c r="I1078" s="22">
        <f t="shared" si="49"/>
        <v>328.02661999999998</v>
      </c>
      <c r="J1078" s="22">
        <f t="shared" si="50"/>
        <v>328.02661999999998</v>
      </c>
      <c r="K1078" s="22"/>
    </row>
    <row r="1079" spans="1:11" x14ac:dyDescent="0.2">
      <c r="A1079" s="15">
        <v>1073</v>
      </c>
      <c r="B1079" s="20">
        <v>741413</v>
      </c>
      <c r="C1079" s="21" t="s">
        <v>570</v>
      </c>
      <c r="D1079" s="22"/>
      <c r="E1079" s="22">
        <f t="shared" si="48"/>
        <v>0</v>
      </c>
      <c r="F1079" s="22"/>
      <c r="G1079" s="22"/>
      <c r="H1079" s="22"/>
      <c r="I1079" s="22">
        <f t="shared" si="49"/>
        <v>0</v>
      </c>
      <c r="J1079" s="22">
        <f t="shared" si="50"/>
        <v>0</v>
      </c>
      <c r="K1079" s="22">
        <v>0</v>
      </c>
    </row>
    <row r="1080" spans="1:11" x14ac:dyDescent="0.2">
      <c r="A1080" s="15">
        <v>1074</v>
      </c>
      <c r="B1080" s="20">
        <v>741414</v>
      </c>
      <c r="C1080" s="21" t="s">
        <v>571</v>
      </c>
      <c r="D1080" s="22"/>
      <c r="E1080" s="22">
        <f t="shared" si="48"/>
        <v>0</v>
      </c>
      <c r="F1080" s="22">
        <v>0</v>
      </c>
      <c r="G1080" s="22"/>
      <c r="H1080" s="22"/>
      <c r="I1080" s="22">
        <f t="shared" si="49"/>
        <v>0</v>
      </c>
      <c r="J1080" s="22">
        <f t="shared" si="50"/>
        <v>0</v>
      </c>
      <c r="K1080" s="22"/>
    </row>
    <row r="1081" spans="1:11" x14ac:dyDescent="0.2">
      <c r="A1081" s="15">
        <v>1075</v>
      </c>
      <c r="B1081" s="20">
        <v>741417</v>
      </c>
      <c r="C1081" s="21" t="s">
        <v>572</v>
      </c>
      <c r="D1081" s="22">
        <v>0</v>
      </c>
      <c r="E1081" s="22">
        <f t="shared" si="48"/>
        <v>0</v>
      </c>
      <c r="F1081" s="22"/>
      <c r="G1081" s="22">
        <v>0</v>
      </c>
      <c r="H1081" s="22">
        <v>24724.737300000001</v>
      </c>
      <c r="I1081" s="22">
        <f t="shared" si="49"/>
        <v>24724.737300000001</v>
      </c>
      <c r="J1081" s="22">
        <f t="shared" si="50"/>
        <v>24724.737300000001</v>
      </c>
      <c r="K1081" s="22"/>
    </row>
    <row r="1082" spans="1:11" x14ac:dyDescent="0.2">
      <c r="A1082" s="15">
        <v>1076</v>
      </c>
      <c r="B1082" s="20">
        <v>741418</v>
      </c>
      <c r="C1082" s="21" t="s">
        <v>573</v>
      </c>
      <c r="D1082" s="22">
        <v>0</v>
      </c>
      <c r="E1082" s="22">
        <f t="shared" si="48"/>
        <v>0</v>
      </c>
      <c r="F1082" s="22">
        <v>0</v>
      </c>
      <c r="G1082" s="22">
        <v>0</v>
      </c>
      <c r="H1082" s="22">
        <v>0</v>
      </c>
      <c r="I1082" s="22">
        <f t="shared" si="49"/>
        <v>0</v>
      </c>
      <c r="J1082" s="22">
        <f t="shared" si="50"/>
        <v>0</v>
      </c>
      <c r="K1082" s="22"/>
    </row>
    <row r="1083" spans="1:11" x14ac:dyDescent="0.2">
      <c r="A1083" s="15">
        <v>1077</v>
      </c>
      <c r="B1083" s="20">
        <v>741419</v>
      </c>
      <c r="C1083" s="21" t="s">
        <v>574</v>
      </c>
      <c r="D1083" s="22">
        <v>2315.41284</v>
      </c>
      <c r="E1083" s="22">
        <f t="shared" si="48"/>
        <v>2315.41284</v>
      </c>
      <c r="F1083" s="22"/>
      <c r="G1083" s="22"/>
      <c r="H1083" s="22"/>
      <c r="I1083" s="22">
        <f t="shared" si="49"/>
        <v>0</v>
      </c>
      <c r="J1083" s="22">
        <f t="shared" si="50"/>
        <v>2315.41284</v>
      </c>
      <c r="K1083" s="22"/>
    </row>
    <row r="1084" spans="1:11" x14ac:dyDescent="0.2">
      <c r="A1084" s="15">
        <v>1078</v>
      </c>
      <c r="B1084" s="20">
        <v>741420</v>
      </c>
      <c r="C1084" s="21" t="s">
        <v>575</v>
      </c>
      <c r="D1084" s="22"/>
      <c r="E1084" s="22">
        <f t="shared" si="48"/>
        <v>0</v>
      </c>
      <c r="F1084" s="22"/>
      <c r="G1084" s="22">
        <v>0</v>
      </c>
      <c r="H1084" s="22">
        <v>1249.42767</v>
      </c>
      <c r="I1084" s="22">
        <f t="shared" si="49"/>
        <v>1249.42767</v>
      </c>
      <c r="J1084" s="22">
        <f t="shared" si="50"/>
        <v>1249.42767</v>
      </c>
      <c r="K1084" s="22"/>
    </row>
    <row r="1085" spans="1:11" x14ac:dyDescent="0.2">
      <c r="A1085" s="15">
        <v>1079</v>
      </c>
      <c r="B1085" s="20">
        <v>741421</v>
      </c>
      <c r="C1085" s="21" t="s">
        <v>576</v>
      </c>
      <c r="D1085" s="22"/>
      <c r="E1085" s="22">
        <f t="shared" si="48"/>
        <v>0</v>
      </c>
      <c r="F1085" s="22"/>
      <c r="G1085" s="22"/>
      <c r="H1085" s="22"/>
      <c r="I1085" s="22">
        <f t="shared" si="49"/>
        <v>0</v>
      </c>
      <c r="J1085" s="22">
        <f t="shared" si="50"/>
        <v>0</v>
      </c>
      <c r="K1085" s="22">
        <v>4478.4070000000002</v>
      </c>
    </row>
    <row r="1086" spans="1:11" x14ac:dyDescent="0.2">
      <c r="A1086" s="15">
        <v>1080</v>
      </c>
      <c r="B1086" s="20">
        <v>741422</v>
      </c>
      <c r="C1086" s="21" t="s">
        <v>577</v>
      </c>
      <c r="D1086" s="22"/>
      <c r="E1086" s="22">
        <f t="shared" si="48"/>
        <v>0</v>
      </c>
      <c r="F1086" s="22">
        <v>1691.9874600000001</v>
      </c>
      <c r="G1086" s="22"/>
      <c r="H1086" s="22"/>
      <c r="I1086" s="22">
        <f t="shared" si="49"/>
        <v>1691.9874600000001</v>
      </c>
      <c r="J1086" s="22">
        <f t="shared" si="50"/>
        <v>1691.9874600000001</v>
      </c>
      <c r="K1086" s="22"/>
    </row>
    <row r="1087" spans="1:11" x14ac:dyDescent="0.2">
      <c r="A1087" s="15">
        <v>1081</v>
      </c>
      <c r="B1087" s="20">
        <v>7415</v>
      </c>
      <c r="C1087" s="21" t="s">
        <v>578</v>
      </c>
      <c r="D1087" s="22">
        <v>0</v>
      </c>
      <c r="E1087" s="22">
        <f t="shared" si="48"/>
        <v>0</v>
      </c>
      <c r="F1087" s="22">
        <v>0</v>
      </c>
      <c r="G1087" s="22">
        <v>47.330959999999997</v>
      </c>
      <c r="H1087" s="22">
        <v>0</v>
      </c>
      <c r="I1087" s="22">
        <f t="shared" si="49"/>
        <v>47.330959999999997</v>
      </c>
      <c r="J1087" s="22">
        <f t="shared" si="50"/>
        <v>47.330959999999997</v>
      </c>
      <c r="K1087" s="22"/>
    </row>
    <row r="1088" spans="1:11" x14ac:dyDescent="0.2">
      <c r="A1088" s="15">
        <v>1082</v>
      </c>
      <c r="B1088" s="20">
        <v>741505</v>
      </c>
      <c r="C1088" s="21" t="s">
        <v>579</v>
      </c>
      <c r="D1088" s="22">
        <v>0</v>
      </c>
      <c r="E1088" s="22">
        <f t="shared" si="48"/>
        <v>0</v>
      </c>
      <c r="F1088" s="22"/>
      <c r="G1088" s="22">
        <v>0</v>
      </c>
      <c r="H1088" s="22">
        <v>0</v>
      </c>
      <c r="I1088" s="22">
        <f t="shared" si="49"/>
        <v>0</v>
      </c>
      <c r="J1088" s="22">
        <f t="shared" si="50"/>
        <v>0</v>
      </c>
      <c r="K1088" s="22"/>
    </row>
    <row r="1089" spans="1:11" x14ac:dyDescent="0.2">
      <c r="A1089" s="15">
        <v>1083</v>
      </c>
      <c r="B1089" s="20">
        <v>741510</v>
      </c>
      <c r="C1089" s="21" t="s">
        <v>580</v>
      </c>
      <c r="D1089" s="22">
        <v>0</v>
      </c>
      <c r="E1089" s="22">
        <f t="shared" si="48"/>
        <v>0</v>
      </c>
      <c r="F1089" s="22">
        <v>0</v>
      </c>
      <c r="G1089" s="22">
        <v>47.330959999999997</v>
      </c>
      <c r="H1089" s="22">
        <v>0</v>
      </c>
      <c r="I1089" s="22">
        <f t="shared" si="49"/>
        <v>47.330959999999997</v>
      </c>
      <c r="J1089" s="22">
        <f t="shared" si="50"/>
        <v>47.330959999999997</v>
      </c>
      <c r="K1089" s="22"/>
    </row>
    <row r="1090" spans="1:11" x14ac:dyDescent="0.2">
      <c r="A1090" s="15">
        <v>1084</v>
      </c>
      <c r="B1090" s="20">
        <v>741515</v>
      </c>
      <c r="C1090" s="21" t="s">
        <v>581</v>
      </c>
      <c r="D1090" s="22">
        <v>0</v>
      </c>
      <c r="E1090" s="22">
        <f t="shared" si="48"/>
        <v>0</v>
      </c>
      <c r="F1090" s="22"/>
      <c r="G1090" s="22"/>
      <c r="H1090" s="22"/>
      <c r="I1090" s="22">
        <f t="shared" si="49"/>
        <v>0</v>
      </c>
      <c r="J1090" s="22">
        <f t="shared" si="50"/>
        <v>0</v>
      </c>
      <c r="K1090" s="22"/>
    </row>
    <row r="1091" spans="1:11" x14ac:dyDescent="0.2">
      <c r="A1091" s="15">
        <v>1085</v>
      </c>
      <c r="B1091" s="20">
        <v>741520</v>
      </c>
      <c r="C1091" s="21" t="s">
        <v>582</v>
      </c>
      <c r="D1091" s="22"/>
      <c r="E1091" s="22">
        <f t="shared" si="48"/>
        <v>0</v>
      </c>
      <c r="F1091" s="22"/>
      <c r="G1091" s="22">
        <v>0</v>
      </c>
      <c r="H1091" s="22">
        <v>0</v>
      </c>
      <c r="I1091" s="22">
        <f t="shared" si="49"/>
        <v>0</v>
      </c>
      <c r="J1091" s="22">
        <f t="shared" si="50"/>
        <v>0</v>
      </c>
      <c r="K1091" s="22"/>
    </row>
    <row r="1092" spans="1:11" x14ac:dyDescent="0.2">
      <c r="A1092" s="15">
        <v>1086</v>
      </c>
      <c r="B1092" s="20">
        <v>741525</v>
      </c>
      <c r="C1092" s="21" t="s">
        <v>148</v>
      </c>
      <c r="D1092" s="22"/>
      <c r="E1092" s="22">
        <f t="shared" si="48"/>
        <v>0</v>
      </c>
      <c r="F1092" s="22"/>
      <c r="G1092" s="22"/>
      <c r="H1092" s="22"/>
      <c r="I1092" s="22">
        <f t="shared" si="49"/>
        <v>0</v>
      </c>
      <c r="J1092" s="22">
        <f t="shared" si="50"/>
        <v>0</v>
      </c>
      <c r="K1092" s="22">
        <v>0</v>
      </c>
    </row>
    <row r="1093" spans="1:11" x14ac:dyDescent="0.2">
      <c r="A1093" s="15">
        <v>1087</v>
      </c>
      <c r="B1093" s="20">
        <v>741530</v>
      </c>
      <c r="C1093" s="21" t="s">
        <v>149</v>
      </c>
      <c r="D1093" s="22"/>
      <c r="E1093" s="22">
        <f t="shared" si="48"/>
        <v>0</v>
      </c>
      <c r="F1093" s="22">
        <v>0</v>
      </c>
      <c r="G1093" s="22"/>
      <c r="H1093" s="22"/>
      <c r="I1093" s="22">
        <f t="shared" si="49"/>
        <v>0</v>
      </c>
      <c r="J1093" s="22">
        <f t="shared" si="50"/>
        <v>0</v>
      </c>
      <c r="K1093" s="22"/>
    </row>
    <row r="1094" spans="1:11" x14ac:dyDescent="0.2">
      <c r="A1094" s="15">
        <v>1088</v>
      </c>
      <c r="B1094" s="20">
        <v>7490</v>
      </c>
      <c r="C1094" s="21" t="s">
        <v>583</v>
      </c>
      <c r="D1094" s="22">
        <v>7813.2414799999997</v>
      </c>
      <c r="E1094" s="22">
        <f t="shared" si="48"/>
        <v>7813.2414799999997</v>
      </c>
      <c r="F1094" s="22">
        <v>233060.76368999999</v>
      </c>
      <c r="G1094" s="22">
        <v>21037.413860000001</v>
      </c>
      <c r="H1094" s="22">
        <v>0</v>
      </c>
      <c r="I1094" s="22">
        <f t="shared" si="49"/>
        <v>254098.17754999999</v>
      </c>
      <c r="J1094" s="22">
        <f t="shared" si="50"/>
        <v>261911.41902999999</v>
      </c>
      <c r="K1094" s="22">
        <v>0</v>
      </c>
    </row>
    <row r="1095" spans="1:11" x14ac:dyDescent="0.2">
      <c r="A1095" s="15">
        <v>1089</v>
      </c>
      <c r="B1095" s="20">
        <v>749005</v>
      </c>
      <c r="C1095" s="21" t="s">
        <v>584</v>
      </c>
      <c r="D1095" s="22"/>
      <c r="E1095" s="22">
        <f t="shared" si="48"/>
        <v>0</v>
      </c>
      <c r="F1095" s="22"/>
      <c r="G1095" s="22"/>
      <c r="H1095" s="22"/>
      <c r="I1095" s="22">
        <f t="shared" si="49"/>
        <v>0</v>
      </c>
      <c r="J1095" s="22">
        <f t="shared" si="50"/>
        <v>0</v>
      </c>
      <c r="K1095" s="22"/>
    </row>
    <row r="1096" spans="1:11" x14ac:dyDescent="0.2">
      <c r="A1096" s="15">
        <v>1090</v>
      </c>
      <c r="B1096" s="20">
        <v>749010</v>
      </c>
      <c r="C1096" s="21" t="s">
        <v>585</v>
      </c>
      <c r="D1096" s="22"/>
      <c r="E1096" s="22">
        <f t="shared" si="48"/>
        <v>0</v>
      </c>
      <c r="F1096" s="22"/>
      <c r="G1096" s="22">
        <v>0</v>
      </c>
      <c r="H1096" s="22">
        <v>0</v>
      </c>
      <c r="I1096" s="22">
        <f t="shared" si="49"/>
        <v>0</v>
      </c>
      <c r="J1096" s="22">
        <f t="shared" si="50"/>
        <v>0</v>
      </c>
      <c r="K1096" s="22"/>
    </row>
    <row r="1097" spans="1:11" x14ac:dyDescent="0.2">
      <c r="A1097" s="15">
        <v>1091</v>
      </c>
      <c r="B1097" s="20">
        <v>749015</v>
      </c>
      <c r="C1097" s="21" t="s">
        <v>586</v>
      </c>
      <c r="D1097" s="22">
        <v>0</v>
      </c>
      <c r="E1097" s="22">
        <f t="shared" si="48"/>
        <v>0</v>
      </c>
      <c r="F1097" s="22">
        <v>0</v>
      </c>
      <c r="G1097" s="22">
        <v>20972.933000000001</v>
      </c>
      <c r="H1097" s="22">
        <v>0</v>
      </c>
      <c r="I1097" s="22">
        <f t="shared" si="49"/>
        <v>20972.933000000001</v>
      </c>
      <c r="J1097" s="22">
        <f t="shared" si="50"/>
        <v>20972.933000000001</v>
      </c>
      <c r="K1097" s="22">
        <v>0</v>
      </c>
    </row>
    <row r="1098" spans="1:11" x14ac:dyDescent="0.2">
      <c r="A1098" s="15">
        <v>1092</v>
      </c>
      <c r="B1098" s="20">
        <v>749020</v>
      </c>
      <c r="C1098" s="21" t="s">
        <v>587</v>
      </c>
      <c r="D1098" s="22">
        <v>2775</v>
      </c>
      <c r="E1098" s="22">
        <f t="shared" ref="E1098" si="51">+D1098</f>
        <v>2775</v>
      </c>
      <c r="F1098" s="22">
        <v>2.40069</v>
      </c>
      <c r="G1098" s="22">
        <v>0</v>
      </c>
      <c r="H1098" s="22">
        <v>0</v>
      </c>
      <c r="I1098" s="22">
        <f t="shared" ref="I1098" si="52">+SUM(F1098:H1098)</f>
        <v>2.40069</v>
      </c>
      <c r="J1098" s="22">
        <f t="shared" ref="J1098" si="53">+E1098+I1098</f>
        <v>2777.4006899999999</v>
      </c>
      <c r="K1098" s="22">
        <v>0</v>
      </c>
    </row>
    <row r="1099" spans="1:11" x14ac:dyDescent="0.2">
      <c r="A1099" s="15">
        <v>1093</v>
      </c>
      <c r="B1099" s="25"/>
      <c r="C1099" s="26"/>
      <c r="D1099" s="27"/>
      <c r="E1099" s="27"/>
      <c r="F1099" s="27"/>
      <c r="G1099" s="27"/>
      <c r="H1099" s="27"/>
      <c r="I1099" s="27"/>
      <c r="J1099" s="27"/>
      <c r="K1099" s="27"/>
    </row>
    <row r="1100" spans="1:11" x14ac:dyDescent="0.2">
      <c r="A1100" s="15">
        <v>1094</v>
      </c>
      <c r="B1100" s="2" t="s">
        <v>588</v>
      </c>
      <c r="C1100" s="2"/>
      <c r="D1100" s="28">
        <f>+D617-D805-D839-D843+D619</f>
        <v>0</v>
      </c>
      <c r="E1100" s="28">
        <f t="shared" ref="E1100:K1100" si="54">+E617-E805-E839-E843+E619</f>
        <v>0</v>
      </c>
      <c r="F1100" s="28">
        <f t="shared" si="54"/>
        <v>-9.0949470177292824E-11</v>
      </c>
      <c r="G1100" s="28">
        <f>+G617-G805-G839-G843+G619</f>
        <v>0</v>
      </c>
      <c r="H1100" s="28">
        <f t="shared" si="54"/>
        <v>2.6193447411060333E-10</v>
      </c>
      <c r="I1100" s="28">
        <f t="shared" si="54"/>
        <v>2.9103830456733704E-10</v>
      </c>
      <c r="J1100" s="28">
        <f t="shared" si="54"/>
        <v>0</v>
      </c>
      <c r="K1100" s="28">
        <f t="shared" si="54"/>
        <v>4.5474735088646412E-11</v>
      </c>
    </row>
    <row r="1101" spans="1:11" x14ac:dyDescent="0.2">
      <c r="A1101" s="15">
        <v>1095</v>
      </c>
      <c r="B1101" s="2" t="s">
        <v>589</v>
      </c>
      <c r="C1101" s="2"/>
      <c r="D1101" s="28">
        <f>(D843-D619)-PYG!D104</f>
        <v>0</v>
      </c>
      <c r="E1101" s="28">
        <f>(E843-E619)-PYG!E104</f>
        <v>0</v>
      </c>
      <c r="F1101" s="28">
        <f>(F843-F619)-PYG!F104</f>
        <v>0</v>
      </c>
      <c r="G1101" s="28">
        <f>(G843-G619)-PYG!G104</f>
        <v>0</v>
      </c>
      <c r="H1101" s="28">
        <f>(H843-H619)-PYG!H104</f>
        <v>0</v>
      </c>
      <c r="I1101" s="28">
        <f>(I843-I619)-PYG!I104</f>
        <v>0</v>
      </c>
      <c r="J1101" s="28">
        <f>(J843-J619)-PYG!J104</f>
        <v>0</v>
      </c>
      <c r="K1101" s="28">
        <f>(K843-K619)-PYG!K104</f>
        <v>0</v>
      </c>
    </row>
    <row r="1102" spans="1:11" x14ac:dyDescent="0.2">
      <c r="A1102" s="15">
        <v>1096</v>
      </c>
      <c r="B1102" s="29" t="s">
        <v>590</v>
      </c>
      <c r="C1102" s="29"/>
      <c r="D1102" s="30">
        <f>+(D837-D838)-PYG!D104</f>
        <v>5417.6589999999997</v>
      </c>
      <c r="E1102" s="30">
        <f>+(E837-E838)-PYG!E104</f>
        <v>5417.6589999999997</v>
      </c>
      <c r="F1102" s="30">
        <f>+(F837-F838)-PYG!F104</f>
        <v>-36275.517440000003</v>
      </c>
      <c r="G1102" s="30">
        <f>+(G837-G838)-PYG!G104</f>
        <v>11016.225549999999</v>
      </c>
      <c r="H1102" s="30">
        <f>+(H837-H838)-PYG!H104</f>
        <v>-67075.481350000002</v>
      </c>
      <c r="I1102" s="30">
        <f>+(I837-I838)-PYG!I104</f>
        <v>-92334.77324000001</v>
      </c>
      <c r="J1102" s="30">
        <f>+(J837-J838)-PYG!J104</f>
        <v>-86917.11424000001</v>
      </c>
      <c r="K1102" s="30">
        <f>+(K837-K838)-PYG!K104</f>
        <v>-4469.0895899999996</v>
      </c>
    </row>
    <row r="1103" spans="1:11" x14ac:dyDescent="0.2">
      <c r="A1103" s="15">
        <v>1097</v>
      </c>
      <c r="B1103" s="31"/>
      <c r="C1103" s="31"/>
    </row>
    <row r="1104" spans="1:11" ht="15" x14ac:dyDescent="0.25">
      <c r="A1104" s="15">
        <v>1098</v>
      </c>
      <c r="B1104" s="13" t="s">
        <v>591</v>
      </c>
      <c r="C1104" s="2"/>
    </row>
    <row r="1105" spans="1:11" ht="15" x14ac:dyDescent="0.25">
      <c r="A1105" s="15">
        <v>1099</v>
      </c>
      <c r="B1105" s="13" t="s">
        <v>592</v>
      </c>
      <c r="C1105" s="2"/>
    </row>
    <row r="1106" spans="1:11" x14ac:dyDescent="0.2">
      <c r="A1106" s="15">
        <v>1100</v>
      </c>
      <c r="B1106" s="2"/>
      <c r="C1106" s="2"/>
    </row>
    <row r="1107" spans="1:11" x14ac:dyDescent="0.2">
      <c r="A1107" s="15">
        <v>1101</v>
      </c>
      <c r="B1107" s="2" t="s">
        <v>593</v>
      </c>
      <c r="C1107" s="2"/>
    </row>
    <row r="1108" spans="1:11" ht="15" x14ac:dyDescent="0.25">
      <c r="A1108" s="15">
        <v>1102</v>
      </c>
      <c r="B1108" s="32" t="s">
        <v>594</v>
      </c>
      <c r="C1108" s="2"/>
    </row>
    <row r="1109" spans="1:11" x14ac:dyDescent="0.2">
      <c r="A1109" s="15">
        <v>1103</v>
      </c>
      <c r="B1109" s="33" t="s">
        <v>595</v>
      </c>
      <c r="C1109" s="2"/>
    </row>
    <row r="1110" spans="1:11" x14ac:dyDescent="0.2">
      <c r="A1110" s="15">
        <v>1104</v>
      </c>
      <c r="B1110" s="2"/>
      <c r="C1110" s="2"/>
    </row>
    <row r="1111" spans="1:11" ht="15" x14ac:dyDescent="0.25">
      <c r="A1111" s="15">
        <v>1105</v>
      </c>
      <c r="B1111" s="2"/>
      <c r="C1111" s="34" t="s">
        <v>596</v>
      </c>
    </row>
    <row r="1112" spans="1:11" x14ac:dyDescent="0.2">
      <c r="A1112" s="15">
        <v>1106</v>
      </c>
      <c r="B1112" s="2">
        <f>+B9</f>
        <v>11</v>
      </c>
      <c r="C1112" s="2" t="str">
        <f>+C9</f>
        <v>FONDOS DISPONIBLES</v>
      </c>
      <c r="D1112" s="35">
        <f t="shared" ref="D1112:K1112" si="55">+D9</f>
        <v>20338.50459</v>
      </c>
      <c r="E1112" s="35">
        <f t="shared" si="55"/>
        <v>20338.50459</v>
      </c>
      <c r="F1112" s="35">
        <f t="shared" si="55"/>
        <v>174734.24729999999</v>
      </c>
      <c r="G1112" s="35">
        <f t="shared" si="55"/>
        <v>131056.78765</v>
      </c>
      <c r="H1112" s="35">
        <f t="shared" si="55"/>
        <v>28493.401320000001</v>
      </c>
      <c r="I1112" s="35">
        <f t="shared" si="55"/>
        <v>334284.43627000001</v>
      </c>
      <c r="J1112" s="35">
        <f t="shared" si="55"/>
        <v>354622.94086000003</v>
      </c>
      <c r="K1112" s="35">
        <f t="shared" si="55"/>
        <v>122183.12802</v>
      </c>
    </row>
    <row r="1113" spans="1:11" x14ac:dyDescent="0.2">
      <c r="A1113" s="15">
        <v>1107</v>
      </c>
      <c r="B1113" s="2">
        <f>+B26</f>
        <v>1201</v>
      </c>
      <c r="C1113" s="2" t="str">
        <f>+C26</f>
        <v>Fondos interbancarios vendidos</v>
      </c>
      <c r="D1113" s="35">
        <f>+D26</f>
        <v>0</v>
      </c>
      <c r="E1113" s="35">
        <f t="shared" ref="E1113:K1113" si="56">+E26</f>
        <v>0</v>
      </c>
      <c r="F1113" s="35">
        <f t="shared" si="56"/>
        <v>0</v>
      </c>
      <c r="G1113" s="35">
        <f t="shared" si="56"/>
        <v>0</v>
      </c>
      <c r="H1113" s="35">
        <f t="shared" si="56"/>
        <v>0</v>
      </c>
      <c r="I1113" s="35">
        <f t="shared" si="56"/>
        <v>0</v>
      </c>
      <c r="J1113" s="35">
        <f t="shared" si="56"/>
        <v>0</v>
      </c>
      <c r="K1113" s="35">
        <f t="shared" si="56"/>
        <v>0</v>
      </c>
    </row>
    <row r="1114" spans="1:11" x14ac:dyDescent="0.2">
      <c r="A1114" s="15">
        <v>1108</v>
      </c>
      <c r="B1114" s="2">
        <f>+B36</f>
        <v>130105</v>
      </c>
      <c r="C1114" s="2" t="str">
        <f>+C36</f>
        <v>De 1 a 30 días</v>
      </c>
      <c r="D1114" s="35">
        <f t="shared" ref="D1114:K1114" si="57">+D36</f>
        <v>0</v>
      </c>
      <c r="E1114" s="35">
        <f t="shared" si="57"/>
        <v>0</v>
      </c>
      <c r="F1114" s="35">
        <f t="shared" si="57"/>
        <v>0</v>
      </c>
      <c r="G1114" s="35">
        <f t="shared" si="57"/>
        <v>0</v>
      </c>
      <c r="H1114" s="35">
        <f t="shared" si="57"/>
        <v>0</v>
      </c>
      <c r="I1114" s="35">
        <f t="shared" si="57"/>
        <v>0</v>
      </c>
      <c r="J1114" s="35">
        <f t="shared" si="57"/>
        <v>0</v>
      </c>
      <c r="K1114" s="35">
        <f t="shared" si="57"/>
        <v>0</v>
      </c>
    </row>
    <row r="1115" spans="1:11" x14ac:dyDescent="0.2">
      <c r="A1115" s="15">
        <v>1109</v>
      </c>
      <c r="B1115" s="2">
        <f>+B42</f>
        <v>130205</v>
      </c>
      <c r="C1115" s="2" t="str">
        <f>+C42</f>
        <v>De 1 a 30 días</v>
      </c>
      <c r="D1115" s="35">
        <f t="shared" ref="D1115:K1115" si="58">+D42</f>
        <v>0</v>
      </c>
      <c r="E1115" s="35">
        <f t="shared" si="58"/>
        <v>0</v>
      </c>
      <c r="F1115" s="35">
        <f t="shared" si="58"/>
        <v>0</v>
      </c>
      <c r="G1115" s="35">
        <f t="shared" si="58"/>
        <v>0</v>
      </c>
      <c r="H1115" s="35">
        <f t="shared" si="58"/>
        <v>0</v>
      </c>
      <c r="I1115" s="35">
        <f t="shared" si="58"/>
        <v>0</v>
      </c>
      <c r="J1115" s="35">
        <f t="shared" si="58"/>
        <v>0</v>
      </c>
      <c r="K1115" s="35">
        <f t="shared" si="58"/>
        <v>0</v>
      </c>
    </row>
    <row r="1116" spans="1:11" x14ac:dyDescent="0.2">
      <c r="A1116" s="15">
        <v>1110</v>
      </c>
      <c r="B1116" s="2">
        <f>+B48</f>
        <v>130305</v>
      </c>
      <c r="C1116" s="2" t="str">
        <f>+C48</f>
        <v>De 1 a 30 días</v>
      </c>
      <c r="D1116" s="35">
        <f t="shared" ref="D1116:K1117" si="59">+D48</f>
        <v>3594.3074299999998</v>
      </c>
      <c r="E1116" s="35">
        <f t="shared" si="59"/>
        <v>3594.3074299999998</v>
      </c>
      <c r="F1116" s="35">
        <f t="shared" si="59"/>
        <v>0</v>
      </c>
      <c r="G1116" s="35">
        <f t="shared" si="59"/>
        <v>30684.78398</v>
      </c>
      <c r="H1116" s="35">
        <f t="shared" si="59"/>
        <v>18836.575110000002</v>
      </c>
      <c r="I1116" s="35">
        <f t="shared" si="59"/>
        <v>49521.359089999998</v>
      </c>
      <c r="J1116" s="35">
        <f t="shared" si="59"/>
        <v>53115.666519999999</v>
      </c>
      <c r="K1116" s="35">
        <f t="shared" si="59"/>
        <v>0</v>
      </c>
    </row>
    <row r="1117" spans="1:11" x14ac:dyDescent="0.2">
      <c r="A1117" s="15">
        <v>1111</v>
      </c>
      <c r="B1117" s="2">
        <f>+B49</f>
        <v>130310</v>
      </c>
      <c r="C1117" s="2" t="str">
        <f>+C49</f>
        <v>De 31 a 90 días</v>
      </c>
      <c r="D1117" s="35">
        <f t="shared" si="59"/>
        <v>2436.8458300000002</v>
      </c>
      <c r="E1117" s="35">
        <f t="shared" si="59"/>
        <v>2436.8458300000002</v>
      </c>
      <c r="F1117" s="35">
        <f t="shared" si="59"/>
        <v>0</v>
      </c>
      <c r="G1117" s="35">
        <f t="shared" si="59"/>
        <v>22047.543949999999</v>
      </c>
      <c r="H1117" s="35">
        <f t="shared" si="59"/>
        <v>44573.063569999998</v>
      </c>
      <c r="I1117" s="35">
        <f t="shared" si="59"/>
        <v>66620.60751999999</v>
      </c>
      <c r="J1117" s="35">
        <f t="shared" si="59"/>
        <v>69057.453349999996</v>
      </c>
      <c r="K1117" s="35">
        <f t="shared" si="59"/>
        <v>0</v>
      </c>
    </row>
    <row r="1118" spans="1:11" x14ac:dyDescent="0.2">
      <c r="A1118" s="15">
        <v>1112</v>
      </c>
      <c r="B1118" s="2">
        <f>+B53</f>
        <v>1304</v>
      </c>
      <c r="C1118" s="2" t="str">
        <f>+C53</f>
        <v>Disponibles para la venta del Estado o de entidades del sector público</v>
      </c>
      <c r="D1118" s="35">
        <f t="shared" ref="D1118:K1118" si="60">+D53</f>
        <v>4504.2066100000002</v>
      </c>
      <c r="E1118" s="35">
        <f t="shared" si="60"/>
        <v>4504.2066100000002</v>
      </c>
      <c r="F1118" s="35">
        <f t="shared" si="60"/>
        <v>54922.675199999998</v>
      </c>
      <c r="G1118" s="35">
        <f t="shared" si="60"/>
        <v>214249.68096</v>
      </c>
      <c r="H1118" s="35">
        <f t="shared" si="60"/>
        <v>151308.98392</v>
      </c>
      <c r="I1118" s="35">
        <f t="shared" si="60"/>
        <v>420481.34007999999</v>
      </c>
      <c r="J1118" s="35">
        <f t="shared" si="60"/>
        <v>424985.54668999999</v>
      </c>
      <c r="K1118" s="35">
        <f t="shared" si="60"/>
        <v>0</v>
      </c>
    </row>
    <row r="1119" spans="1:11" x14ac:dyDescent="0.2">
      <c r="A1119" s="15">
        <v>1113</v>
      </c>
      <c r="B1119" s="2">
        <f t="shared" ref="B1119:K1121" si="61">+B69</f>
        <v>130605</v>
      </c>
      <c r="C1119" s="2" t="str">
        <f t="shared" si="61"/>
        <v>De 1 a 30 días</v>
      </c>
      <c r="D1119" s="35">
        <f t="shared" si="61"/>
        <v>0</v>
      </c>
      <c r="E1119" s="35">
        <f t="shared" si="61"/>
        <v>0</v>
      </c>
      <c r="F1119" s="35">
        <f t="shared" si="61"/>
        <v>0</v>
      </c>
      <c r="G1119" s="35">
        <f t="shared" si="61"/>
        <v>0</v>
      </c>
      <c r="H1119" s="35">
        <f t="shared" si="61"/>
        <v>0</v>
      </c>
      <c r="I1119" s="35">
        <f t="shared" si="61"/>
        <v>0</v>
      </c>
      <c r="J1119" s="35">
        <f t="shared" si="61"/>
        <v>0</v>
      </c>
      <c r="K1119" s="35">
        <f t="shared" si="61"/>
        <v>0</v>
      </c>
    </row>
    <row r="1120" spans="1:11" x14ac:dyDescent="0.2">
      <c r="A1120" s="15">
        <v>1114</v>
      </c>
      <c r="B1120" s="2">
        <f t="shared" si="61"/>
        <v>130610</v>
      </c>
      <c r="C1120" s="2" t="str">
        <f t="shared" si="61"/>
        <v>De 31 a 90 días</v>
      </c>
      <c r="D1120" s="35">
        <f t="shared" si="61"/>
        <v>0</v>
      </c>
      <c r="E1120" s="35">
        <f t="shared" si="61"/>
        <v>0</v>
      </c>
      <c r="F1120" s="35">
        <f t="shared" si="61"/>
        <v>0</v>
      </c>
      <c r="G1120" s="35">
        <f t="shared" si="61"/>
        <v>0</v>
      </c>
      <c r="H1120" s="35">
        <f t="shared" si="61"/>
        <v>0</v>
      </c>
      <c r="I1120" s="35">
        <f t="shared" si="61"/>
        <v>0</v>
      </c>
      <c r="J1120" s="35">
        <f t="shared" si="61"/>
        <v>0</v>
      </c>
      <c r="K1120" s="35">
        <f t="shared" si="61"/>
        <v>0</v>
      </c>
    </row>
    <row r="1121" spans="1:11" x14ac:dyDescent="0.2">
      <c r="A1121" s="15">
        <v>1115</v>
      </c>
      <c r="B1121" s="2">
        <f t="shared" si="61"/>
        <v>130615</v>
      </c>
      <c r="C1121" s="2" t="str">
        <f t="shared" si="61"/>
        <v>De 91 a 180 días</v>
      </c>
      <c r="D1121" s="35">
        <f t="shared" si="61"/>
        <v>0</v>
      </c>
      <c r="E1121" s="35">
        <f t="shared" si="61"/>
        <v>0</v>
      </c>
      <c r="F1121" s="35">
        <f t="shared" si="61"/>
        <v>0</v>
      </c>
      <c r="G1121" s="35">
        <f t="shared" si="61"/>
        <v>0</v>
      </c>
      <c r="H1121" s="35">
        <f t="shared" si="61"/>
        <v>0</v>
      </c>
      <c r="I1121" s="35">
        <f t="shared" si="61"/>
        <v>0</v>
      </c>
      <c r="J1121" s="35">
        <f t="shared" si="61"/>
        <v>0</v>
      </c>
      <c r="K1121" s="35">
        <f t="shared" si="61"/>
        <v>0</v>
      </c>
    </row>
    <row r="1122" spans="1:11" ht="15" x14ac:dyDescent="0.25">
      <c r="A1122" s="15">
        <v>1116</v>
      </c>
      <c r="B1122" s="36" t="s">
        <v>597</v>
      </c>
      <c r="C1122" s="36" t="s">
        <v>598</v>
      </c>
      <c r="D1122" s="37">
        <f>SUM(D1112:D1121)</f>
        <v>30873.864460000004</v>
      </c>
      <c r="E1122" s="37">
        <f t="shared" ref="E1122:K1122" si="62">SUM(E1112:E1121)</f>
        <v>30873.864460000004</v>
      </c>
      <c r="F1122" s="37">
        <f t="shared" si="62"/>
        <v>229656.92249999999</v>
      </c>
      <c r="G1122" s="37">
        <f t="shared" si="62"/>
        <v>398038.79654000001</v>
      </c>
      <c r="H1122" s="37">
        <f t="shared" si="62"/>
        <v>243212.02392000001</v>
      </c>
      <c r="I1122" s="37">
        <f t="shared" si="62"/>
        <v>870907.74295999995</v>
      </c>
      <c r="J1122" s="37">
        <f t="shared" si="62"/>
        <v>901781.60742000001</v>
      </c>
      <c r="K1122" s="37">
        <f t="shared" si="62"/>
        <v>122183.12802</v>
      </c>
    </row>
    <row r="1123" spans="1:11" x14ac:dyDescent="0.2">
      <c r="A1123" s="15">
        <v>1117</v>
      </c>
      <c r="D1123" s="37"/>
      <c r="E1123" s="37"/>
      <c r="F1123" s="37"/>
      <c r="G1123" s="37"/>
      <c r="H1123" s="37"/>
      <c r="I1123" s="37"/>
      <c r="J1123" s="37"/>
      <c r="K1123" s="37"/>
    </row>
    <row r="1124" spans="1:11" ht="15" x14ac:dyDescent="0.25">
      <c r="A1124" s="15">
        <v>1118</v>
      </c>
      <c r="C1124" s="38" t="s">
        <v>599</v>
      </c>
      <c r="D1124" s="37"/>
      <c r="E1124" s="37"/>
      <c r="F1124" s="37"/>
      <c r="G1124" s="37"/>
      <c r="H1124" s="37"/>
      <c r="I1124" s="37"/>
      <c r="J1124" s="37"/>
      <c r="K1124" s="37"/>
    </row>
    <row r="1125" spans="1:11" x14ac:dyDescent="0.2">
      <c r="A1125" s="15">
        <v>1119</v>
      </c>
      <c r="B1125" s="11">
        <f>+B625</f>
        <v>2101</v>
      </c>
      <c r="C1125" s="11" t="str">
        <f>+C625</f>
        <v>Depósitos a la vista</v>
      </c>
      <c r="D1125" s="37">
        <f t="shared" ref="D1125:K1125" si="63">+D625</f>
        <v>20782.49872</v>
      </c>
      <c r="E1125" s="37">
        <f t="shared" si="63"/>
        <v>20782.49872</v>
      </c>
      <c r="F1125" s="37">
        <f t="shared" si="63"/>
        <v>0</v>
      </c>
      <c r="G1125" s="37">
        <f t="shared" si="63"/>
        <v>692955.14200999995</v>
      </c>
      <c r="H1125" s="37">
        <f t="shared" si="63"/>
        <v>0</v>
      </c>
      <c r="I1125" s="37">
        <f t="shared" si="63"/>
        <v>692955.14200999995</v>
      </c>
      <c r="J1125" s="37">
        <f t="shared" si="63"/>
        <v>713737.64072999998</v>
      </c>
      <c r="K1125" s="37">
        <f t="shared" si="63"/>
        <v>0</v>
      </c>
    </row>
    <row r="1126" spans="1:11" x14ac:dyDescent="0.2">
      <c r="A1126" s="15">
        <v>1120</v>
      </c>
      <c r="B1126" s="11">
        <f>+B651</f>
        <v>2201</v>
      </c>
      <c r="C1126" s="11" t="str">
        <f>+C651</f>
        <v>Fondos interbancarios comprados</v>
      </c>
      <c r="D1126" s="37">
        <f t="shared" ref="D1126:K1126" si="64">+D651</f>
        <v>0</v>
      </c>
      <c r="E1126" s="37">
        <f t="shared" si="64"/>
        <v>0</v>
      </c>
      <c r="F1126" s="37">
        <f t="shared" si="64"/>
        <v>0</v>
      </c>
      <c r="G1126" s="37">
        <f t="shared" si="64"/>
        <v>0</v>
      </c>
      <c r="H1126" s="37">
        <f t="shared" si="64"/>
        <v>0</v>
      </c>
      <c r="I1126" s="37">
        <f t="shared" si="64"/>
        <v>0</v>
      </c>
      <c r="J1126" s="37">
        <f t="shared" si="64"/>
        <v>0</v>
      </c>
      <c r="K1126" s="37">
        <f t="shared" si="64"/>
        <v>0</v>
      </c>
    </row>
    <row r="1127" spans="1:11" x14ac:dyDescent="0.2">
      <c r="A1127" s="15">
        <v>1121</v>
      </c>
      <c r="B1127" s="11">
        <f>+B659</f>
        <v>23</v>
      </c>
      <c r="C1127" s="11" t="str">
        <f>+C659</f>
        <v>OBLIGACIONES INMEDIATAS</v>
      </c>
      <c r="D1127" s="37">
        <f t="shared" ref="D1127:K1127" si="65">+D659</f>
        <v>0</v>
      </c>
      <c r="E1127" s="37">
        <f t="shared" si="65"/>
        <v>0</v>
      </c>
      <c r="F1127" s="37">
        <f t="shared" si="65"/>
        <v>0</v>
      </c>
      <c r="G1127" s="37">
        <f t="shared" si="65"/>
        <v>19626.370200000001</v>
      </c>
      <c r="H1127" s="37">
        <f t="shared" si="65"/>
        <v>0</v>
      </c>
      <c r="I1127" s="37">
        <f t="shared" si="65"/>
        <v>19626.370200000001</v>
      </c>
      <c r="J1127" s="37">
        <f t="shared" si="65"/>
        <v>19626.370200000001</v>
      </c>
      <c r="K1127" s="37">
        <f t="shared" si="65"/>
        <v>0</v>
      </c>
    </row>
    <row r="1128" spans="1:11" x14ac:dyDescent="0.2">
      <c r="A1128" s="15">
        <v>1122</v>
      </c>
      <c r="B1128" s="11">
        <f>+B637</f>
        <v>2102</v>
      </c>
      <c r="C1128" s="11" t="str">
        <f>+C637</f>
        <v>Operaciones de reporto</v>
      </c>
      <c r="D1128" s="37">
        <f t="shared" ref="D1128:K1128" si="66">+D637</f>
        <v>0</v>
      </c>
      <c r="E1128" s="37">
        <f t="shared" si="66"/>
        <v>0</v>
      </c>
      <c r="F1128" s="37">
        <f t="shared" si="66"/>
        <v>0</v>
      </c>
      <c r="G1128" s="37">
        <f t="shared" si="66"/>
        <v>0</v>
      </c>
      <c r="H1128" s="37">
        <f t="shared" si="66"/>
        <v>0</v>
      </c>
      <c r="I1128" s="37">
        <f t="shared" si="66"/>
        <v>0</v>
      </c>
      <c r="J1128" s="37">
        <f t="shared" si="66"/>
        <v>0</v>
      </c>
      <c r="K1128" s="37">
        <f t="shared" si="66"/>
        <v>0</v>
      </c>
    </row>
    <row r="1129" spans="1:11" x14ac:dyDescent="0.2">
      <c r="A1129" s="15">
        <v>1123</v>
      </c>
      <c r="B1129" s="11">
        <f>+B641</f>
        <v>2103</v>
      </c>
      <c r="C1129" s="11" t="str">
        <f>+C641</f>
        <v>Depósitos a plazo</v>
      </c>
      <c r="D1129" s="37">
        <f t="shared" ref="D1129:K1129" si="67">+D641</f>
        <v>112499.99999</v>
      </c>
      <c r="E1129" s="37">
        <f t="shared" si="67"/>
        <v>112499.99999</v>
      </c>
      <c r="F1129" s="37">
        <f t="shared" si="67"/>
        <v>427092.83601000003</v>
      </c>
      <c r="G1129" s="37">
        <f t="shared" si="67"/>
        <v>312474.36018999998</v>
      </c>
      <c r="H1129" s="37">
        <f t="shared" si="67"/>
        <v>1181384.28309</v>
      </c>
      <c r="I1129" s="37">
        <f t="shared" si="67"/>
        <v>1920951.4792900002</v>
      </c>
      <c r="J1129" s="37">
        <f t="shared" si="67"/>
        <v>2033451.4792800001</v>
      </c>
      <c r="K1129" s="37">
        <f t="shared" si="67"/>
        <v>0</v>
      </c>
    </row>
    <row r="1130" spans="1:11" x14ac:dyDescent="0.2">
      <c r="A1130" s="15">
        <v>1124</v>
      </c>
      <c r="B1130" s="11">
        <f>+B649</f>
        <v>2105</v>
      </c>
      <c r="C1130" s="11" t="str">
        <f>+C649</f>
        <v>Depósitos restringidos</v>
      </c>
      <c r="D1130" s="37">
        <f t="shared" ref="D1130:K1130" si="68">+D649</f>
        <v>0</v>
      </c>
      <c r="E1130" s="37">
        <f t="shared" si="68"/>
        <v>0</v>
      </c>
      <c r="F1130" s="37">
        <f t="shared" si="68"/>
        <v>0</v>
      </c>
      <c r="G1130" s="37">
        <f t="shared" si="68"/>
        <v>0</v>
      </c>
      <c r="H1130" s="37">
        <f t="shared" si="68"/>
        <v>0</v>
      </c>
      <c r="I1130" s="37">
        <f t="shared" si="68"/>
        <v>0</v>
      </c>
      <c r="J1130" s="37">
        <f t="shared" si="68"/>
        <v>0</v>
      </c>
      <c r="K1130" s="37">
        <f t="shared" si="68"/>
        <v>0</v>
      </c>
    </row>
    <row r="1131" spans="1:11" x14ac:dyDescent="0.2">
      <c r="A1131" s="15">
        <v>1125</v>
      </c>
      <c r="B1131" s="11">
        <f>+B669</f>
        <v>24</v>
      </c>
      <c r="C1131" s="11" t="str">
        <f>+C669</f>
        <v>ACEPTACIONES EN CIRCULACION</v>
      </c>
      <c r="D1131" s="37">
        <f t="shared" ref="D1131:K1131" si="69">+D669</f>
        <v>0</v>
      </c>
      <c r="E1131" s="37">
        <f t="shared" si="69"/>
        <v>0</v>
      </c>
      <c r="F1131" s="37">
        <f t="shared" si="69"/>
        <v>0</v>
      </c>
      <c r="G1131" s="37">
        <f t="shared" si="69"/>
        <v>0</v>
      </c>
      <c r="H1131" s="37">
        <f t="shared" si="69"/>
        <v>0</v>
      </c>
      <c r="I1131" s="37">
        <f t="shared" si="69"/>
        <v>0</v>
      </c>
      <c r="J1131" s="37">
        <f t="shared" si="69"/>
        <v>0</v>
      </c>
      <c r="K1131" s="37">
        <f t="shared" si="69"/>
        <v>0</v>
      </c>
    </row>
    <row r="1132" spans="1:11" x14ac:dyDescent="0.2">
      <c r="A1132" s="15">
        <v>1126</v>
      </c>
      <c r="B1132" s="11">
        <f>+B713</f>
        <v>26</v>
      </c>
      <c r="C1132" s="11" t="str">
        <f>+C713</f>
        <v>OBLIGACIONES FINANCIERAS</v>
      </c>
      <c r="D1132" s="37">
        <f t="shared" ref="D1132:K1132" si="70">+D713</f>
        <v>917.75852999999995</v>
      </c>
      <c r="E1132" s="37">
        <f t="shared" si="70"/>
        <v>917.75852999999995</v>
      </c>
      <c r="F1132" s="37">
        <f t="shared" si="70"/>
        <v>13970.07429</v>
      </c>
      <c r="G1132" s="37">
        <f t="shared" si="70"/>
        <v>241.19851</v>
      </c>
      <c r="H1132" s="37">
        <f t="shared" si="70"/>
        <v>100048.11142</v>
      </c>
      <c r="I1132" s="37">
        <f t="shared" si="70"/>
        <v>114259.38422000001</v>
      </c>
      <c r="J1132" s="37">
        <f t="shared" si="70"/>
        <v>115177.14275000001</v>
      </c>
      <c r="K1132" s="37">
        <f t="shared" si="70"/>
        <v>0</v>
      </c>
    </row>
    <row r="1133" spans="1:11" x14ac:dyDescent="0.2">
      <c r="A1133" s="15">
        <v>1127</v>
      </c>
      <c r="B1133" s="11">
        <f>+B769</f>
        <v>27</v>
      </c>
      <c r="C1133" s="11" t="str">
        <f>+C769</f>
        <v>VALORES EN CIRCULACION</v>
      </c>
      <c r="D1133" s="37">
        <f t="shared" ref="D1133:K1133" si="71">+D769</f>
        <v>0</v>
      </c>
      <c r="E1133" s="37">
        <f t="shared" si="71"/>
        <v>0</v>
      </c>
      <c r="F1133" s="37">
        <f t="shared" si="71"/>
        <v>0</v>
      </c>
      <c r="G1133" s="37">
        <f t="shared" si="71"/>
        <v>0</v>
      </c>
      <c r="H1133" s="37">
        <f t="shared" si="71"/>
        <v>0</v>
      </c>
      <c r="I1133" s="37">
        <f t="shared" si="71"/>
        <v>0</v>
      </c>
      <c r="J1133" s="37">
        <f t="shared" si="71"/>
        <v>0</v>
      </c>
      <c r="K1133" s="37">
        <f t="shared" si="71"/>
        <v>0</v>
      </c>
    </row>
    <row r="1134" spans="1:11" x14ac:dyDescent="0.2">
      <c r="A1134" s="15">
        <v>1128</v>
      </c>
      <c r="B1134" s="11">
        <f>+B796</f>
        <v>2903</v>
      </c>
      <c r="C1134" s="11" t="str">
        <f>+C796</f>
        <v>Fondos en administración</v>
      </c>
      <c r="D1134" s="37">
        <f t="shared" ref="D1134:K1134" si="72">+D796</f>
        <v>11379.2</v>
      </c>
      <c r="E1134" s="37">
        <f t="shared" si="72"/>
        <v>11379.2</v>
      </c>
      <c r="F1134" s="37">
        <f t="shared" si="72"/>
        <v>362387.02649999998</v>
      </c>
      <c r="G1134" s="37">
        <f t="shared" si="72"/>
        <v>34813.338810000001</v>
      </c>
      <c r="H1134" s="37">
        <f t="shared" si="72"/>
        <v>470.88693999999998</v>
      </c>
      <c r="I1134" s="37">
        <f t="shared" si="72"/>
        <v>397671.25224999996</v>
      </c>
      <c r="J1134" s="37">
        <f t="shared" si="72"/>
        <v>409050.45224999997</v>
      </c>
      <c r="K1134" s="37">
        <f t="shared" si="72"/>
        <v>32574.834210000001</v>
      </c>
    </row>
    <row r="1135" spans="1:11" ht="15" x14ac:dyDescent="0.25">
      <c r="A1135" s="15">
        <v>1129</v>
      </c>
      <c r="B1135" s="36" t="s">
        <v>600</v>
      </c>
      <c r="C1135" s="36" t="s">
        <v>601</v>
      </c>
      <c r="D1135" s="37">
        <f>SUM(D1125:D1134)</f>
        <v>145579.45723999999</v>
      </c>
      <c r="E1135" s="37">
        <f t="shared" ref="E1135:K1135" si="73">SUM(E1125:E1134)</f>
        <v>145579.45723999999</v>
      </c>
      <c r="F1135" s="37">
        <f t="shared" si="73"/>
        <v>803449.93680000002</v>
      </c>
      <c r="G1135" s="37">
        <f t="shared" si="73"/>
        <v>1060110.4097200001</v>
      </c>
      <c r="H1135" s="37">
        <f t="shared" si="73"/>
        <v>1281903.2814500001</v>
      </c>
      <c r="I1135" s="37">
        <f t="shared" si="73"/>
        <v>3145463.6279699998</v>
      </c>
      <c r="J1135" s="37">
        <f t="shared" si="73"/>
        <v>3291043.0852100002</v>
      </c>
      <c r="K1135" s="37">
        <f t="shared" si="73"/>
        <v>32574.834210000001</v>
      </c>
    </row>
    <row r="1136" spans="1:11" x14ac:dyDescent="0.2">
      <c r="A1136" s="15">
        <v>1130</v>
      </c>
      <c r="D1136" s="37"/>
      <c r="E1136" s="37"/>
      <c r="F1136" s="37"/>
      <c r="G1136" s="37"/>
      <c r="H1136" s="37"/>
      <c r="I1136" s="37"/>
      <c r="J1136" s="37"/>
      <c r="K1136" s="37"/>
    </row>
    <row r="1137" spans="1:11" ht="15" x14ac:dyDescent="0.25">
      <c r="A1137" s="15">
        <v>1131</v>
      </c>
      <c r="C1137" s="38" t="s">
        <v>602</v>
      </c>
      <c r="D1137" s="37"/>
      <c r="E1137" s="37"/>
      <c r="F1137" s="37"/>
      <c r="G1137" s="37"/>
      <c r="H1137" s="37"/>
      <c r="I1137" s="37"/>
      <c r="J1137" s="37"/>
      <c r="K1137" s="37"/>
    </row>
    <row r="1138" spans="1:11" x14ac:dyDescent="0.2">
      <c r="A1138" s="15">
        <v>1132</v>
      </c>
      <c r="B1138" s="11">
        <f>+B9</f>
        <v>11</v>
      </c>
      <c r="C1138" s="11" t="str">
        <f>+C9</f>
        <v>FONDOS DISPONIBLES</v>
      </c>
      <c r="D1138" s="37">
        <f t="shared" ref="D1138:K1138" si="74">+D9</f>
        <v>20338.50459</v>
      </c>
      <c r="E1138" s="37">
        <f t="shared" si="74"/>
        <v>20338.50459</v>
      </c>
      <c r="F1138" s="37">
        <f t="shared" si="74"/>
        <v>174734.24729999999</v>
      </c>
      <c r="G1138" s="37">
        <f t="shared" si="74"/>
        <v>131056.78765</v>
      </c>
      <c r="H1138" s="37">
        <f t="shared" si="74"/>
        <v>28493.401320000001</v>
      </c>
      <c r="I1138" s="37">
        <f t="shared" si="74"/>
        <v>334284.43627000001</v>
      </c>
      <c r="J1138" s="37">
        <f t="shared" si="74"/>
        <v>354622.94086000003</v>
      </c>
      <c r="K1138" s="37">
        <f t="shared" si="74"/>
        <v>122183.12802</v>
      </c>
    </row>
    <row r="1139" spans="1:11" x14ac:dyDescent="0.2">
      <c r="A1139" s="15">
        <v>1133</v>
      </c>
      <c r="B1139" s="11">
        <f>-B17</f>
        <v>-1103</v>
      </c>
      <c r="C1139" s="11" t="str">
        <f>C17</f>
        <v>Bancos y otras instituciones financieras</v>
      </c>
      <c r="D1139" s="37">
        <f t="shared" ref="D1139:K1139" si="75">-D17</f>
        <v>-28.581109999999999</v>
      </c>
      <c r="E1139" s="37">
        <f t="shared" si="75"/>
        <v>-28.581109999999999</v>
      </c>
      <c r="F1139" s="37">
        <f t="shared" si="75"/>
        <v>-174731.46230000001</v>
      </c>
      <c r="G1139" s="37">
        <f t="shared" si="75"/>
        <v>-36410.580070000004</v>
      </c>
      <c r="H1139" s="37">
        <f t="shared" si="75"/>
        <v>-21303.198619999999</v>
      </c>
      <c r="I1139" s="37">
        <f t="shared" si="75"/>
        <v>-232445.24099000002</v>
      </c>
      <c r="J1139" s="37">
        <f t="shared" si="75"/>
        <v>-232473.82210000002</v>
      </c>
      <c r="K1139" s="37">
        <f t="shared" si="75"/>
        <v>-122183.12802</v>
      </c>
    </row>
    <row r="1140" spans="1:11" x14ac:dyDescent="0.2">
      <c r="A1140" s="15">
        <v>1134</v>
      </c>
      <c r="B1140" s="39" t="s">
        <v>603</v>
      </c>
      <c r="C1140" s="11" t="s">
        <v>604</v>
      </c>
      <c r="D1140" s="37">
        <f>+D195+D201+D207+D213+D219+D225+D231+D237+D243+D249+D255+D261+D267+D273+D279+D285+D291+D297</f>
        <v>14278.267379999999</v>
      </c>
      <c r="E1140" s="37">
        <f t="shared" ref="E1140:K1140" si="76">+E195+E201+E207+E213+E219+E225+E231+E237+E243+E249+E255+E261+E267+E273+E279+E285+E291+E297</f>
        <v>14278.267379999999</v>
      </c>
      <c r="F1140" s="37">
        <f t="shared" si="76"/>
        <v>192.62246999999999</v>
      </c>
      <c r="G1140" s="37">
        <f t="shared" si="76"/>
        <v>91740.658790000001</v>
      </c>
      <c r="H1140" s="37">
        <f t="shared" si="76"/>
        <v>27689.070199999998</v>
      </c>
      <c r="I1140" s="37">
        <f t="shared" si="76"/>
        <v>119622.35145999999</v>
      </c>
      <c r="J1140" s="37">
        <f t="shared" si="76"/>
        <v>133900.61883999998</v>
      </c>
      <c r="K1140" s="37">
        <f t="shared" si="76"/>
        <v>17855.219860000001</v>
      </c>
    </row>
    <row r="1141" spans="1:11" x14ac:dyDescent="0.2">
      <c r="A1141" s="15">
        <v>1135</v>
      </c>
      <c r="B1141" s="40" t="s">
        <v>605</v>
      </c>
      <c r="C1141" s="11" t="s">
        <v>606</v>
      </c>
      <c r="D1141" s="37">
        <f>+D303+D309+D315+D322+D328+D334+D340+D346+D352+D359+D365+D371+D377+D383+D389+D396+D402+D408</f>
        <v>9065.8741200000004</v>
      </c>
      <c r="E1141" s="37">
        <f t="shared" ref="E1141:K1141" si="77">+E303+E309+E315+E322+E328+E334+E340+E346+E352+E359+E365+E371+E377+E383+E389+E396+E402+E408</f>
        <v>9065.8741200000004</v>
      </c>
      <c r="F1141" s="37">
        <f t="shared" si="77"/>
        <v>18.01662</v>
      </c>
      <c r="G1141" s="37">
        <f t="shared" si="77"/>
        <v>56719.961679999993</v>
      </c>
      <c r="H1141" s="37">
        <f t="shared" si="77"/>
        <v>46475.731970000008</v>
      </c>
      <c r="I1141" s="37">
        <f t="shared" si="77"/>
        <v>103213.71027000001</v>
      </c>
      <c r="J1141" s="37">
        <f t="shared" si="77"/>
        <v>112279.58439000002</v>
      </c>
      <c r="K1141" s="37">
        <f t="shared" si="77"/>
        <v>12416.8416</v>
      </c>
    </row>
    <row r="1142" spans="1:11" x14ac:dyDescent="0.2">
      <c r="A1142" s="15">
        <v>1136</v>
      </c>
      <c r="B1142" s="11">
        <f>+B427</f>
        <v>16</v>
      </c>
      <c r="C1142" s="11" t="str">
        <f>+C427</f>
        <v>CUENTAS POR COBRAR</v>
      </c>
      <c r="D1142" s="37">
        <f t="shared" ref="D1142:K1142" si="78">+D427</f>
        <v>3355.36913</v>
      </c>
      <c r="E1142" s="37">
        <f t="shared" si="78"/>
        <v>3355.36913</v>
      </c>
      <c r="F1142" s="37">
        <f t="shared" si="78"/>
        <v>72344.741649999996</v>
      </c>
      <c r="G1142" s="37">
        <f t="shared" si="78"/>
        <v>203581.0502</v>
      </c>
      <c r="H1142" s="37">
        <f t="shared" si="78"/>
        <v>82129.793619999997</v>
      </c>
      <c r="I1142" s="37">
        <f t="shared" si="78"/>
        <v>358055.58546999999</v>
      </c>
      <c r="J1142" s="37">
        <f t="shared" si="78"/>
        <v>361410.9546</v>
      </c>
      <c r="K1142" s="37">
        <f t="shared" si="78"/>
        <v>2569.4989300000002</v>
      </c>
    </row>
    <row r="1143" spans="1:11" x14ac:dyDescent="0.2">
      <c r="A1143" s="15">
        <v>1137</v>
      </c>
      <c r="B1143" s="11">
        <f>-B482</f>
        <v>-1699</v>
      </c>
      <c r="C1143" s="11" t="str">
        <f>C482</f>
        <v>(Provisión para cuentas por cobrar)</v>
      </c>
      <c r="D1143" s="37">
        <f t="shared" ref="D1143:K1143" si="79">-D482</f>
        <v>7772.1702699999996</v>
      </c>
      <c r="E1143" s="37">
        <f t="shared" si="79"/>
        <v>7772.1702699999996</v>
      </c>
      <c r="F1143" s="37">
        <f t="shared" si="79"/>
        <v>908.53111000000001</v>
      </c>
      <c r="G1143" s="37">
        <f t="shared" si="79"/>
        <v>6822.6737700000003</v>
      </c>
      <c r="H1143" s="37">
        <f t="shared" si="79"/>
        <v>22473.845420000001</v>
      </c>
      <c r="I1143" s="37">
        <f t="shared" si="79"/>
        <v>30205.050300000003</v>
      </c>
      <c r="J1143" s="37">
        <f t="shared" si="79"/>
        <v>37977.220570000005</v>
      </c>
      <c r="K1143" s="37">
        <f t="shared" si="79"/>
        <v>1233.9517599999999</v>
      </c>
    </row>
    <row r="1144" spans="1:11" x14ac:dyDescent="0.2">
      <c r="A1144" s="15">
        <v>1138</v>
      </c>
      <c r="B1144" s="11">
        <f>+B485</f>
        <v>17</v>
      </c>
      <c r="C1144" s="11" t="str">
        <f>+C485</f>
        <v>BIENES REALIZABLES, ADJUDICADOS POR PAGO, DE ARRENDAMIENTO MERCANTIL Y NO UTILIZADOS POR LA INSTITUCION</v>
      </c>
      <c r="D1144" s="37">
        <f t="shared" ref="D1144:K1144" si="80">+D485</f>
        <v>23015.34547</v>
      </c>
      <c r="E1144" s="37">
        <f t="shared" si="80"/>
        <v>23015.34547</v>
      </c>
      <c r="F1144" s="37">
        <f t="shared" si="80"/>
        <v>6706.2979800000003</v>
      </c>
      <c r="G1144" s="37">
        <f t="shared" si="80"/>
        <v>2139.7321299999999</v>
      </c>
      <c r="H1144" s="37">
        <f t="shared" si="80"/>
        <v>10645.76331</v>
      </c>
      <c r="I1144" s="37">
        <f t="shared" si="80"/>
        <v>19491.793420000002</v>
      </c>
      <c r="J1144" s="37">
        <f t="shared" si="80"/>
        <v>42507.138890000002</v>
      </c>
      <c r="K1144" s="37">
        <f t="shared" si="80"/>
        <v>0</v>
      </c>
    </row>
    <row r="1145" spans="1:11" x14ac:dyDescent="0.2">
      <c r="A1145" s="15">
        <v>1139</v>
      </c>
      <c r="B1145" s="11">
        <f>-B487</f>
        <v>-170105</v>
      </c>
      <c r="C1145" s="11" t="str">
        <f>C487</f>
        <v>Terrenos</v>
      </c>
      <c r="D1145" s="37">
        <f t="shared" ref="D1145:K1147" si="81">-D487</f>
        <v>-16538.314839999999</v>
      </c>
      <c r="E1145" s="37">
        <f t="shared" si="81"/>
        <v>-16538.314839999999</v>
      </c>
      <c r="F1145" s="37">
        <f t="shared" si="81"/>
        <v>0</v>
      </c>
      <c r="G1145" s="37">
        <f t="shared" si="81"/>
        <v>0</v>
      </c>
      <c r="H1145" s="37">
        <f t="shared" si="81"/>
        <v>0</v>
      </c>
      <c r="I1145" s="37">
        <f t="shared" si="81"/>
        <v>0</v>
      </c>
      <c r="J1145" s="37">
        <f t="shared" si="81"/>
        <v>-16538.314839999999</v>
      </c>
      <c r="K1145" s="37">
        <f t="shared" si="81"/>
        <v>0</v>
      </c>
    </row>
    <row r="1146" spans="1:11" x14ac:dyDescent="0.2">
      <c r="A1146" s="15">
        <v>1140</v>
      </c>
      <c r="B1146" s="11">
        <f t="shared" ref="B1146:B1147" si="82">-B488</f>
        <v>-170110</v>
      </c>
      <c r="C1146" s="11" t="str">
        <f t="shared" ref="C1146:C1147" si="83">C488</f>
        <v>Obras de urbanización</v>
      </c>
      <c r="D1146" s="37">
        <f t="shared" si="81"/>
        <v>-470.5403</v>
      </c>
      <c r="E1146" s="37">
        <f t="shared" si="81"/>
        <v>-470.5403</v>
      </c>
      <c r="F1146" s="37">
        <f t="shared" si="81"/>
        <v>0</v>
      </c>
      <c r="G1146" s="37">
        <f t="shared" si="81"/>
        <v>0</v>
      </c>
      <c r="H1146" s="37">
        <f t="shared" si="81"/>
        <v>0</v>
      </c>
      <c r="I1146" s="37">
        <f t="shared" si="81"/>
        <v>0</v>
      </c>
      <c r="J1146" s="37">
        <f t="shared" si="81"/>
        <v>-470.5403</v>
      </c>
      <c r="K1146" s="37">
        <f t="shared" si="81"/>
        <v>0</v>
      </c>
    </row>
    <row r="1147" spans="1:11" x14ac:dyDescent="0.2">
      <c r="A1147" s="15">
        <v>1141</v>
      </c>
      <c r="B1147" s="11">
        <f t="shared" si="82"/>
        <v>-170115</v>
      </c>
      <c r="C1147" s="11" t="str">
        <f t="shared" si="83"/>
        <v>Obras de edificación</v>
      </c>
      <c r="D1147" s="37">
        <f t="shared" si="81"/>
        <v>-3708.1499399999998</v>
      </c>
      <c r="E1147" s="37">
        <f t="shared" si="81"/>
        <v>-3708.1499399999998</v>
      </c>
      <c r="F1147" s="37">
        <f t="shared" si="81"/>
        <v>0</v>
      </c>
      <c r="G1147" s="37">
        <f t="shared" si="81"/>
        <v>0</v>
      </c>
      <c r="H1147" s="37">
        <f t="shared" si="81"/>
        <v>0</v>
      </c>
      <c r="I1147" s="37">
        <f t="shared" si="81"/>
        <v>0</v>
      </c>
      <c r="J1147" s="37">
        <f t="shared" si="81"/>
        <v>-3708.1499399999998</v>
      </c>
      <c r="K1147" s="37">
        <f t="shared" si="81"/>
        <v>0</v>
      </c>
    </row>
    <row r="1148" spans="1:11" x14ac:dyDescent="0.2">
      <c r="A1148" s="15">
        <v>1142</v>
      </c>
      <c r="B1148" s="11">
        <f>-B529</f>
        <v>-1799</v>
      </c>
      <c r="C1148" s="11" t="str">
        <f>C529</f>
        <v>(Provisión para bienes realizables, adjudicados por pago y recuperados)</v>
      </c>
      <c r="D1148" s="37">
        <f t="shared" ref="D1148:K1148" si="84">-D529</f>
        <v>755.64005999999995</v>
      </c>
      <c r="E1148" s="37">
        <f t="shared" si="84"/>
        <v>755.64005999999995</v>
      </c>
      <c r="F1148" s="37">
        <f t="shared" si="84"/>
        <v>26.138200000000001</v>
      </c>
      <c r="G1148" s="37">
        <f t="shared" si="84"/>
        <v>38.13879</v>
      </c>
      <c r="H1148" s="37">
        <f t="shared" si="84"/>
        <v>8043.0837199999996</v>
      </c>
      <c r="I1148" s="37">
        <f t="shared" si="84"/>
        <v>8107.3607099999999</v>
      </c>
      <c r="J1148" s="37">
        <f t="shared" si="84"/>
        <v>8863.0007700000006</v>
      </c>
      <c r="K1148" s="37">
        <f t="shared" si="84"/>
        <v>0</v>
      </c>
    </row>
    <row r="1149" spans="1:11" x14ac:dyDescent="0.2">
      <c r="A1149" s="15">
        <v>1143</v>
      </c>
      <c r="B1149" s="11">
        <f>+B534</f>
        <v>18</v>
      </c>
      <c r="C1149" s="11" t="str">
        <f>+C534</f>
        <v>PROPIEDADES Y EQUIPO</v>
      </c>
      <c r="D1149" s="37">
        <f t="shared" ref="D1149:K1149" si="85">+D534</f>
        <v>7079.7335199999998</v>
      </c>
      <c r="E1149" s="37">
        <f t="shared" si="85"/>
        <v>7079.7335199999998</v>
      </c>
      <c r="F1149" s="37">
        <f t="shared" si="85"/>
        <v>5522.7246299999997</v>
      </c>
      <c r="G1149" s="37">
        <f t="shared" si="85"/>
        <v>28830.328750000001</v>
      </c>
      <c r="H1149" s="37">
        <f t="shared" si="85"/>
        <v>37892.1008</v>
      </c>
      <c r="I1149" s="37">
        <f t="shared" si="85"/>
        <v>72245.154179999998</v>
      </c>
      <c r="J1149" s="37">
        <f t="shared" si="85"/>
        <v>79324.887699999992</v>
      </c>
      <c r="K1149" s="37">
        <f t="shared" si="85"/>
        <v>7496.7115000000003</v>
      </c>
    </row>
    <row r="1150" spans="1:11" x14ac:dyDescent="0.2">
      <c r="A1150" s="15">
        <v>1144</v>
      </c>
      <c r="B1150" s="11">
        <f>+B554</f>
        <v>19</v>
      </c>
      <c r="C1150" s="11" t="str">
        <f>+C554</f>
        <v>OTROS ACTIVOS</v>
      </c>
      <c r="D1150" s="37">
        <f t="shared" ref="D1150:K1150" si="86">+D554</f>
        <v>9265.2750500000002</v>
      </c>
      <c r="E1150" s="37">
        <f t="shared" si="86"/>
        <v>9265.2750500000002</v>
      </c>
      <c r="F1150" s="37">
        <f t="shared" si="86"/>
        <v>1472.52575</v>
      </c>
      <c r="G1150" s="37">
        <f t="shared" si="86"/>
        <v>40349.771370000002</v>
      </c>
      <c r="H1150" s="37">
        <f t="shared" si="86"/>
        <v>510379.31440999999</v>
      </c>
      <c r="I1150" s="37">
        <f t="shared" si="86"/>
        <v>552201.61152999999</v>
      </c>
      <c r="J1150" s="37">
        <f t="shared" si="86"/>
        <v>561466.88658000005</v>
      </c>
      <c r="K1150" s="37">
        <f t="shared" si="86"/>
        <v>2628.0649899999999</v>
      </c>
    </row>
    <row r="1151" spans="1:11" x14ac:dyDescent="0.2">
      <c r="A1151" s="15">
        <v>1145</v>
      </c>
      <c r="B1151" s="11">
        <f>-B613</f>
        <v>-1999</v>
      </c>
      <c r="C1151" s="11" t="str">
        <f>C613</f>
        <v>(Provisión para otros activos irrecuperables)</v>
      </c>
      <c r="D1151" s="37">
        <f t="shared" ref="D1151:K1151" si="87">-D613</f>
        <v>7524.29277</v>
      </c>
      <c r="E1151" s="37">
        <f t="shared" si="87"/>
        <v>7524.29277</v>
      </c>
      <c r="F1151" s="37">
        <f t="shared" si="87"/>
        <v>6.9180000000000005E-2</v>
      </c>
      <c r="G1151" s="37">
        <f t="shared" si="87"/>
        <v>1904.67794</v>
      </c>
      <c r="H1151" s="37">
        <f t="shared" si="87"/>
        <v>4960.8184700000002</v>
      </c>
      <c r="I1151" s="37">
        <f t="shared" si="87"/>
        <v>6865.5655900000002</v>
      </c>
      <c r="J1151" s="37">
        <f t="shared" si="87"/>
        <v>14389.85836</v>
      </c>
      <c r="K1151" s="37">
        <f t="shared" si="87"/>
        <v>25.44472</v>
      </c>
    </row>
    <row r="1152" spans="1:11" x14ac:dyDescent="0.2">
      <c r="A1152" s="15">
        <v>1146</v>
      </c>
      <c r="B1152" s="11">
        <f>-B555</f>
        <v>-1901</v>
      </c>
      <c r="C1152" s="11" t="str">
        <f>C555</f>
        <v>Inversiones en acciones y participaciones</v>
      </c>
      <c r="D1152" s="37">
        <f t="shared" ref="D1152:K1152" si="88">-D555</f>
        <v>-6754.8012600000002</v>
      </c>
      <c r="E1152" s="37">
        <f t="shared" si="88"/>
        <v>-6754.8012600000002</v>
      </c>
      <c r="F1152" s="37">
        <f t="shared" si="88"/>
        <v>0</v>
      </c>
      <c r="G1152" s="37">
        <f t="shared" si="88"/>
        <v>-2249.15607</v>
      </c>
      <c r="H1152" s="37">
        <f t="shared" si="88"/>
        <v>-455060.44397999998</v>
      </c>
      <c r="I1152" s="37">
        <f t="shared" si="88"/>
        <v>-457309.60005000001</v>
      </c>
      <c r="J1152" s="37">
        <f t="shared" si="88"/>
        <v>-464064.40130999999</v>
      </c>
      <c r="K1152" s="37">
        <f t="shared" si="88"/>
        <v>0</v>
      </c>
    </row>
    <row r="1153" spans="1:11" x14ac:dyDescent="0.2">
      <c r="A1153" s="15">
        <v>1147</v>
      </c>
      <c r="B1153" s="11">
        <f>-B562</f>
        <v>-190205</v>
      </c>
      <c r="C1153" s="11" t="str">
        <f>C562</f>
        <v>Inversiones</v>
      </c>
      <c r="D1153" s="37">
        <f t="shared" ref="D1153:K1156" si="89">-D562</f>
        <v>0</v>
      </c>
      <c r="E1153" s="37">
        <f t="shared" si="89"/>
        <v>0</v>
      </c>
      <c r="F1153" s="37">
        <f t="shared" si="89"/>
        <v>0</v>
      </c>
      <c r="G1153" s="37">
        <f t="shared" si="89"/>
        <v>0</v>
      </c>
      <c r="H1153" s="37">
        <f t="shared" si="89"/>
        <v>-29450.935409999998</v>
      </c>
      <c r="I1153" s="37">
        <f t="shared" si="89"/>
        <v>-29450.935409999998</v>
      </c>
      <c r="J1153" s="37">
        <f t="shared" si="89"/>
        <v>-29450.935409999998</v>
      </c>
      <c r="K1153" s="37">
        <f t="shared" si="89"/>
        <v>0</v>
      </c>
    </row>
    <row r="1154" spans="1:11" x14ac:dyDescent="0.2">
      <c r="A1154" s="15">
        <v>1148</v>
      </c>
      <c r="B1154" s="11">
        <f t="shared" ref="B1154:B1156" si="90">-B563</f>
        <v>-190210</v>
      </c>
      <c r="C1154" s="11" t="str">
        <f t="shared" ref="C1154:C1156" si="91">C563</f>
        <v>Cartera de créditos por vencer</v>
      </c>
      <c r="D1154" s="37">
        <f t="shared" si="89"/>
        <v>0</v>
      </c>
      <c r="E1154" s="37">
        <f t="shared" si="89"/>
        <v>0</v>
      </c>
      <c r="F1154" s="37">
        <f t="shared" si="89"/>
        <v>0</v>
      </c>
      <c r="G1154" s="37">
        <f t="shared" si="89"/>
        <v>0</v>
      </c>
      <c r="H1154" s="37">
        <f t="shared" si="89"/>
        <v>0</v>
      </c>
      <c r="I1154" s="37">
        <f t="shared" si="89"/>
        <v>0</v>
      </c>
      <c r="J1154" s="37">
        <f t="shared" si="89"/>
        <v>0</v>
      </c>
      <c r="K1154" s="37">
        <f t="shared" si="89"/>
        <v>0</v>
      </c>
    </row>
    <row r="1155" spans="1:11" x14ac:dyDescent="0.2">
      <c r="A1155" s="15">
        <v>1149</v>
      </c>
      <c r="B1155" s="11">
        <f t="shared" si="90"/>
        <v>-190215</v>
      </c>
      <c r="C1155" s="11" t="str">
        <f t="shared" si="91"/>
        <v>Cartera de créditos refinanciada por vencer</v>
      </c>
      <c r="D1155" s="37">
        <f t="shared" si="89"/>
        <v>0</v>
      </c>
      <c r="E1155" s="37">
        <f t="shared" si="89"/>
        <v>0</v>
      </c>
      <c r="F1155" s="37">
        <f t="shared" si="89"/>
        <v>0</v>
      </c>
      <c r="G1155" s="37">
        <f t="shared" si="89"/>
        <v>0</v>
      </c>
      <c r="H1155" s="37">
        <f t="shared" si="89"/>
        <v>0</v>
      </c>
      <c r="I1155" s="37">
        <f t="shared" si="89"/>
        <v>0</v>
      </c>
      <c r="J1155" s="37">
        <f t="shared" si="89"/>
        <v>0</v>
      </c>
      <c r="K1155" s="37">
        <f t="shared" si="89"/>
        <v>0</v>
      </c>
    </row>
    <row r="1156" spans="1:11" x14ac:dyDescent="0.2">
      <c r="A1156" s="15">
        <v>1150</v>
      </c>
      <c r="B1156" s="11">
        <f t="shared" si="90"/>
        <v>-190220</v>
      </c>
      <c r="C1156" s="11" t="str">
        <f t="shared" si="91"/>
        <v>Cartera de créditos reestructurada por vencer</v>
      </c>
      <c r="D1156" s="37">
        <f t="shared" si="89"/>
        <v>0</v>
      </c>
      <c r="E1156" s="37">
        <f t="shared" si="89"/>
        <v>0</v>
      </c>
      <c r="F1156" s="37">
        <f t="shared" si="89"/>
        <v>0</v>
      </c>
      <c r="G1156" s="37">
        <f t="shared" si="89"/>
        <v>0</v>
      </c>
      <c r="H1156" s="37">
        <f t="shared" si="89"/>
        <v>0</v>
      </c>
      <c r="I1156" s="37">
        <f t="shared" si="89"/>
        <v>0</v>
      </c>
      <c r="J1156" s="37">
        <f t="shared" si="89"/>
        <v>0</v>
      </c>
      <c r="K1156" s="37">
        <f t="shared" si="89"/>
        <v>0</v>
      </c>
    </row>
    <row r="1157" spans="1:11" x14ac:dyDescent="0.2">
      <c r="A1157" s="15">
        <v>1151</v>
      </c>
      <c r="B1157" s="11">
        <f>-B572</f>
        <v>-190240</v>
      </c>
      <c r="C1157" s="11" t="str">
        <f>C572</f>
        <v>Deudores por aceptación</v>
      </c>
      <c r="D1157" s="37">
        <f t="shared" ref="D1157:K1157" si="92">-D572</f>
        <v>0</v>
      </c>
      <c r="E1157" s="37">
        <f t="shared" si="92"/>
        <v>0</v>
      </c>
      <c r="F1157" s="37">
        <f t="shared" si="92"/>
        <v>0</v>
      </c>
      <c r="G1157" s="37">
        <f t="shared" si="92"/>
        <v>0</v>
      </c>
      <c r="H1157" s="37">
        <f t="shared" si="92"/>
        <v>0</v>
      </c>
      <c r="I1157" s="37">
        <f t="shared" si="92"/>
        <v>0</v>
      </c>
      <c r="J1157" s="37">
        <f t="shared" si="92"/>
        <v>0</v>
      </c>
      <c r="K1157" s="37">
        <f t="shared" si="92"/>
        <v>0</v>
      </c>
    </row>
    <row r="1158" spans="1:11" x14ac:dyDescent="0.2">
      <c r="A1158" s="15">
        <v>1152</v>
      </c>
      <c r="B1158" s="11">
        <f>-B574</f>
        <v>-190250</v>
      </c>
      <c r="C1158" s="11" t="str">
        <f>C574</f>
        <v>Bienes realizables</v>
      </c>
      <c r="D1158" s="37">
        <f t="shared" ref="D1158:K1158" si="93">-D574</f>
        <v>-584.57302000000004</v>
      </c>
      <c r="E1158" s="37">
        <f t="shared" si="93"/>
        <v>-584.57302000000004</v>
      </c>
      <c r="F1158" s="37">
        <f t="shared" si="93"/>
        <v>0</v>
      </c>
      <c r="G1158" s="37">
        <f t="shared" si="93"/>
        <v>0</v>
      </c>
      <c r="H1158" s="37">
        <f t="shared" si="93"/>
        <v>0</v>
      </c>
      <c r="I1158" s="37">
        <f t="shared" si="93"/>
        <v>0</v>
      </c>
      <c r="J1158" s="37">
        <f t="shared" si="93"/>
        <v>-584.57302000000004</v>
      </c>
      <c r="K1158" s="37">
        <f t="shared" si="93"/>
        <v>0</v>
      </c>
    </row>
    <row r="1159" spans="1:11" x14ac:dyDescent="0.2">
      <c r="A1159" s="15">
        <v>1153</v>
      </c>
      <c r="B1159" s="11">
        <f>-B580</f>
        <v>-190280</v>
      </c>
      <c r="C1159" s="11" t="str">
        <f>C580</f>
        <v>Inversiones en acciones y participaciones</v>
      </c>
      <c r="D1159" s="37">
        <f t="shared" ref="D1159:K1161" si="94">-D580</f>
        <v>0</v>
      </c>
      <c r="E1159" s="37">
        <f t="shared" si="94"/>
        <v>0</v>
      </c>
      <c r="F1159" s="37">
        <f t="shared" si="94"/>
        <v>0</v>
      </c>
      <c r="G1159" s="37">
        <f t="shared" si="94"/>
        <v>0</v>
      </c>
      <c r="H1159" s="37">
        <f t="shared" si="94"/>
        <v>0</v>
      </c>
      <c r="I1159" s="37">
        <f t="shared" si="94"/>
        <v>0</v>
      </c>
      <c r="J1159" s="37">
        <f t="shared" si="94"/>
        <v>0</v>
      </c>
      <c r="K1159" s="37">
        <f t="shared" si="94"/>
        <v>0</v>
      </c>
    </row>
    <row r="1160" spans="1:11" x14ac:dyDescent="0.2">
      <c r="A1160" s="15">
        <v>1154</v>
      </c>
      <c r="B1160" s="11">
        <f t="shared" ref="B1160:B1161" si="95">-B581</f>
        <v>-190286</v>
      </c>
      <c r="C1160" s="11" t="str">
        <f>C581</f>
        <v>Fondos de liquidez</v>
      </c>
      <c r="D1160" s="37">
        <f t="shared" si="94"/>
        <v>0</v>
      </c>
      <c r="E1160" s="37">
        <f t="shared" si="94"/>
        <v>0</v>
      </c>
      <c r="F1160" s="37">
        <f t="shared" si="94"/>
        <v>0</v>
      </c>
      <c r="G1160" s="37">
        <f t="shared" si="94"/>
        <v>0</v>
      </c>
      <c r="H1160" s="37">
        <f t="shared" si="94"/>
        <v>0</v>
      </c>
      <c r="I1160" s="37">
        <f t="shared" si="94"/>
        <v>0</v>
      </c>
      <c r="J1160" s="37">
        <f t="shared" si="94"/>
        <v>0</v>
      </c>
      <c r="K1160" s="37">
        <f t="shared" si="94"/>
        <v>0</v>
      </c>
    </row>
    <row r="1161" spans="1:11" x14ac:dyDescent="0.2">
      <c r="A1161" s="15">
        <v>1155</v>
      </c>
      <c r="B1161" s="11">
        <f t="shared" si="95"/>
        <v>-1903</v>
      </c>
      <c r="C1161" s="11" t="str">
        <f>C582</f>
        <v>Otras inversiones en participaciones</v>
      </c>
      <c r="D1161" s="37">
        <f t="shared" si="94"/>
        <v>0</v>
      </c>
      <c r="E1161" s="37">
        <f t="shared" si="94"/>
        <v>0</v>
      </c>
      <c r="F1161" s="37">
        <f t="shared" si="94"/>
        <v>0</v>
      </c>
      <c r="G1161" s="37">
        <f t="shared" si="94"/>
        <v>0</v>
      </c>
      <c r="H1161" s="37">
        <f t="shared" si="94"/>
        <v>0</v>
      </c>
      <c r="I1161" s="37">
        <f t="shared" si="94"/>
        <v>0</v>
      </c>
      <c r="J1161" s="37">
        <f t="shared" si="94"/>
        <v>0</v>
      </c>
      <c r="K1161" s="37">
        <f t="shared" si="94"/>
        <v>0</v>
      </c>
    </row>
    <row r="1162" spans="1:11" ht="15" x14ac:dyDescent="0.25">
      <c r="A1162" s="15">
        <v>1156</v>
      </c>
      <c r="B1162" s="36" t="s">
        <v>607</v>
      </c>
      <c r="C1162" s="36" t="s">
        <v>608</v>
      </c>
      <c r="D1162" s="37">
        <f>SUM(D1138:D1161)</f>
        <v>74365.511890000009</v>
      </c>
      <c r="E1162" s="37">
        <f t="shared" ref="E1162:K1162" si="96">SUM(E1138:E1161)</f>
        <v>74365.511890000009</v>
      </c>
      <c r="F1162" s="37">
        <f t="shared" si="96"/>
        <v>87194.452589999972</v>
      </c>
      <c r="G1162" s="37">
        <f t="shared" si="96"/>
        <v>524524.04492999997</v>
      </c>
      <c r="H1162" s="37">
        <f t="shared" si="96"/>
        <v>273368.34523000004</v>
      </c>
      <c r="I1162" s="37">
        <f t="shared" si="96"/>
        <v>885086.84274999995</v>
      </c>
      <c r="J1162" s="37">
        <f t="shared" si="96"/>
        <v>959452.35464000003</v>
      </c>
      <c r="K1162" s="37">
        <f t="shared" si="96"/>
        <v>44225.733359999991</v>
      </c>
    </row>
    <row r="1163" spans="1:11" x14ac:dyDescent="0.2">
      <c r="A1163" s="15">
        <v>1157</v>
      </c>
      <c r="D1163" s="37"/>
      <c r="E1163" s="37"/>
      <c r="F1163" s="37"/>
      <c r="G1163" s="37"/>
      <c r="H1163" s="37"/>
      <c r="I1163" s="37"/>
      <c r="J1163" s="37"/>
      <c r="K1163" s="37"/>
    </row>
    <row r="1164" spans="1:11" ht="15" x14ac:dyDescent="0.25">
      <c r="A1164" s="15">
        <v>1158</v>
      </c>
      <c r="C1164" s="38" t="s">
        <v>609</v>
      </c>
      <c r="D1164" s="37"/>
      <c r="E1164" s="37"/>
      <c r="F1164" s="37"/>
      <c r="G1164" s="37"/>
      <c r="H1164" s="37"/>
      <c r="I1164" s="37"/>
      <c r="J1164" s="37"/>
      <c r="K1164" s="37"/>
    </row>
    <row r="1165" spans="1:11" x14ac:dyDescent="0.2">
      <c r="A1165" s="15">
        <v>1159</v>
      </c>
      <c r="B1165" s="11">
        <f>+B414</f>
        <v>1499</v>
      </c>
      <c r="C1165" s="11" t="str">
        <f>+C414</f>
        <v>(Provisiones para créditos incobrables)</v>
      </c>
      <c r="D1165" s="37">
        <f>+D414</f>
        <v>-16559.367289999998</v>
      </c>
      <c r="E1165" s="37">
        <f t="shared" ref="E1165:K1165" si="97">+E414</f>
        <v>-16559.367289999998</v>
      </c>
      <c r="F1165" s="37">
        <f t="shared" si="97"/>
        <v>-11177.734270000001</v>
      </c>
      <c r="G1165" s="37">
        <f t="shared" si="97"/>
        <v>-105879.39492000001</v>
      </c>
      <c r="H1165" s="37">
        <f t="shared" si="97"/>
        <v>-74639.560490000003</v>
      </c>
      <c r="I1165" s="37">
        <f t="shared" si="97"/>
        <v>-191696.68968000001</v>
      </c>
      <c r="J1165" s="37">
        <f t="shared" si="97"/>
        <v>-208256.05697000001</v>
      </c>
      <c r="K1165" s="37">
        <f t="shared" si="97"/>
        <v>-14505.387930000001</v>
      </c>
    </row>
    <row r="1166" spans="1:11" x14ac:dyDescent="0.2">
      <c r="A1166" s="15">
        <v>1160</v>
      </c>
      <c r="B1166" s="11">
        <f>+B482</f>
        <v>1699</v>
      </c>
      <c r="C1166" s="11" t="str">
        <f>+C482</f>
        <v>(Provisión para cuentas por cobrar)</v>
      </c>
      <c r="D1166" s="37">
        <f>+D482</f>
        <v>-7772.1702699999996</v>
      </c>
      <c r="E1166" s="37">
        <f t="shared" ref="E1166:K1166" si="98">+E482</f>
        <v>-7772.1702699999996</v>
      </c>
      <c r="F1166" s="37">
        <f t="shared" si="98"/>
        <v>-908.53111000000001</v>
      </c>
      <c r="G1166" s="37">
        <f t="shared" si="98"/>
        <v>-6822.6737700000003</v>
      </c>
      <c r="H1166" s="37">
        <f t="shared" si="98"/>
        <v>-22473.845420000001</v>
      </c>
      <c r="I1166" s="37">
        <f t="shared" si="98"/>
        <v>-30205.050300000003</v>
      </c>
      <c r="J1166" s="37">
        <f t="shared" si="98"/>
        <v>-37977.220570000005</v>
      </c>
      <c r="K1166" s="37">
        <f t="shared" si="98"/>
        <v>-1233.9517599999999</v>
      </c>
    </row>
    <row r="1167" spans="1:11" x14ac:dyDescent="0.2">
      <c r="A1167" s="15">
        <v>1161</v>
      </c>
      <c r="B1167" s="11">
        <f>+B529</f>
        <v>1799</v>
      </c>
      <c r="C1167" s="11" t="str">
        <f>+C529</f>
        <v>(Provisión para bienes realizables, adjudicados por pago y recuperados)</v>
      </c>
      <c r="D1167" s="37">
        <f>+D529</f>
        <v>-755.64005999999995</v>
      </c>
      <c r="E1167" s="37">
        <f t="shared" ref="E1167:K1167" si="99">+E529</f>
        <v>-755.64005999999995</v>
      </c>
      <c r="F1167" s="37">
        <f t="shared" si="99"/>
        <v>-26.138200000000001</v>
      </c>
      <c r="G1167" s="37">
        <f t="shared" si="99"/>
        <v>-38.13879</v>
      </c>
      <c r="H1167" s="37">
        <f t="shared" si="99"/>
        <v>-8043.0837199999996</v>
      </c>
      <c r="I1167" s="37">
        <f t="shared" si="99"/>
        <v>-8107.3607099999999</v>
      </c>
      <c r="J1167" s="37">
        <f t="shared" si="99"/>
        <v>-8863.0007700000006</v>
      </c>
      <c r="K1167" s="37">
        <f t="shared" si="99"/>
        <v>0</v>
      </c>
    </row>
    <row r="1168" spans="1:11" x14ac:dyDescent="0.2">
      <c r="A1168" s="15">
        <v>1162</v>
      </c>
      <c r="B1168" s="11">
        <f>+B613</f>
        <v>1999</v>
      </c>
      <c r="C1168" s="11" t="str">
        <f>+C613</f>
        <v>(Provisión para otros activos irrecuperables)</v>
      </c>
      <c r="D1168" s="37">
        <f>+D613</f>
        <v>-7524.29277</v>
      </c>
      <c r="E1168" s="37">
        <f t="shared" ref="E1168:K1168" si="100">+E613</f>
        <v>-7524.29277</v>
      </c>
      <c r="F1168" s="37">
        <f t="shared" si="100"/>
        <v>-6.9180000000000005E-2</v>
      </c>
      <c r="G1168" s="37">
        <f t="shared" si="100"/>
        <v>-1904.67794</v>
      </c>
      <c r="H1168" s="37">
        <f t="shared" si="100"/>
        <v>-4960.8184700000002</v>
      </c>
      <c r="I1168" s="37">
        <f t="shared" si="100"/>
        <v>-6865.5655900000002</v>
      </c>
      <c r="J1168" s="37">
        <f t="shared" si="100"/>
        <v>-14389.85836</v>
      </c>
      <c r="K1168" s="37">
        <f t="shared" si="100"/>
        <v>-25.44472</v>
      </c>
    </row>
    <row r="1169" spans="1:12" ht="15" x14ac:dyDescent="0.25">
      <c r="A1169" s="15">
        <v>1163</v>
      </c>
      <c r="B1169" s="36" t="s">
        <v>610</v>
      </c>
      <c r="C1169" s="38" t="s">
        <v>611</v>
      </c>
      <c r="D1169" s="37">
        <f>SUM(D1165:D1168)</f>
        <v>-32611.470389999999</v>
      </c>
      <c r="E1169" s="37">
        <f t="shared" ref="E1169:K1169" si="101">SUM(E1165:E1168)</f>
        <v>-32611.470389999999</v>
      </c>
      <c r="F1169" s="37">
        <f t="shared" si="101"/>
        <v>-12112.472760000001</v>
      </c>
      <c r="G1169" s="37">
        <f t="shared" si="101"/>
        <v>-114644.88541999999</v>
      </c>
      <c r="H1169" s="37">
        <f t="shared" si="101"/>
        <v>-110117.30809999999</v>
      </c>
      <c r="I1169" s="37">
        <f t="shared" si="101"/>
        <v>-236874.66628000003</v>
      </c>
      <c r="J1169" s="37">
        <f t="shared" si="101"/>
        <v>-269486.13667000004</v>
      </c>
      <c r="K1169" s="37">
        <f t="shared" si="101"/>
        <v>-15764.78441</v>
      </c>
    </row>
    <row r="1170" spans="1:12" x14ac:dyDescent="0.2">
      <c r="A1170" s="15">
        <v>1164</v>
      </c>
      <c r="D1170" s="37"/>
      <c r="E1170" s="37"/>
      <c r="F1170" s="37"/>
      <c r="G1170" s="37"/>
      <c r="H1170" s="37"/>
      <c r="I1170" s="37"/>
      <c r="J1170" s="37"/>
      <c r="K1170" s="37"/>
    </row>
    <row r="1171" spans="1:12" ht="15" x14ac:dyDescent="0.25">
      <c r="A1171" s="15">
        <v>1165</v>
      </c>
      <c r="B1171" s="36" t="s">
        <v>612</v>
      </c>
      <c r="C1171" s="36" t="s">
        <v>613</v>
      </c>
      <c r="D1171" s="41">
        <f>+D1162+D1169</f>
        <v>41754.041500000007</v>
      </c>
      <c r="E1171" s="41">
        <f t="shared" ref="E1171:K1171" si="102">+E1162+E1169</f>
        <v>41754.041500000007</v>
      </c>
      <c r="F1171" s="41">
        <f t="shared" si="102"/>
        <v>75081.979829999967</v>
      </c>
      <c r="G1171" s="41">
        <f t="shared" si="102"/>
        <v>409879.15950999997</v>
      </c>
      <c r="H1171" s="41">
        <f t="shared" si="102"/>
        <v>163251.03713000004</v>
      </c>
      <c r="I1171" s="41">
        <f t="shared" si="102"/>
        <v>648212.17646999995</v>
      </c>
      <c r="J1171" s="41">
        <f t="shared" si="102"/>
        <v>689966.21797</v>
      </c>
      <c r="K1171" s="41">
        <f t="shared" si="102"/>
        <v>28460.948949999991</v>
      </c>
      <c r="L1171" s="36"/>
    </row>
    <row r="1172" spans="1:12" ht="15" x14ac:dyDescent="0.25">
      <c r="A1172" s="15">
        <v>1166</v>
      </c>
      <c r="B1172" s="36"/>
      <c r="C1172" s="36" t="s">
        <v>614</v>
      </c>
      <c r="D1172" s="41"/>
      <c r="E1172" s="41"/>
      <c r="F1172" s="41"/>
      <c r="G1172" s="41"/>
      <c r="H1172" s="41"/>
      <c r="I1172" s="41"/>
      <c r="J1172" s="41"/>
      <c r="K1172" s="41"/>
      <c r="L1172" s="36"/>
    </row>
    <row r="1173" spans="1:12" x14ac:dyDescent="0.2">
      <c r="A1173" s="15">
        <v>1167</v>
      </c>
      <c r="D1173" s="37"/>
      <c r="E1173" s="37"/>
      <c r="F1173" s="37"/>
      <c r="G1173" s="37"/>
      <c r="H1173" s="37"/>
      <c r="I1173" s="37"/>
      <c r="J1173" s="37"/>
      <c r="K1173" s="37"/>
    </row>
    <row r="1174" spans="1:12" ht="15" x14ac:dyDescent="0.25">
      <c r="A1174" s="15">
        <v>1168</v>
      </c>
      <c r="C1174" s="38" t="s">
        <v>615</v>
      </c>
      <c r="D1174" s="37"/>
      <c r="E1174" s="37"/>
      <c r="F1174" s="37"/>
      <c r="G1174" s="37"/>
      <c r="H1174" s="37"/>
      <c r="I1174" s="37"/>
      <c r="J1174" s="37"/>
      <c r="K1174" s="37"/>
    </row>
    <row r="1175" spans="1:12" x14ac:dyDescent="0.2">
      <c r="A1175" s="15">
        <v>1169</v>
      </c>
      <c r="B1175" s="11">
        <f>+B9</f>
        <v>11</v>
      </c>
      <c r="C1175" s="11" t="str">
        <f>+C9</f>
        <v>FONDOS DISPONIBLES</v>
      </c>
      <c r="D1175" s="37">
        <f t="shared" ref="D1175:K1175" si="103">+D9</f>
        <v>20338.50459</v>
      </c>
      <c r="E1175" s="37">
        <f t="shared" si="103"/>
        <v>20338.50459</v>
      </c>
      <c r="F1175" s="37">
        <f t="shared" si="103"/>
        <v>174734.24729999999</v>
      </c>
      <c r="G1175" s="37">
        <f t="shared" si="103"/>
        <v>131056.78765</v>
      </c>
      <c r="H1175" s="37">
        <f t="shared" si="103"/>
        <v>28493.401320000001</v>
      </c>
      <c r="I1175" s="37">
        <f t="shared" si="103"/>
        <v>334284.43627000001</v>
      </c>
      <c r="J1175" s="37">
        <f t="shared" si="103"/>
        <v>354622.94086000003</v>
      </c>
      <c r="K1175" s="37">
        <f t="shared" si="103"/>
        <v>122183.12802</v>
      </c>
    </row>
    <row r="1176" spans="1:12" x14ac:dyDescent="0.2">
      <c r="A1176" s="15">
        <v>1170</v>
      </c>
      <c r="B1176" s="11">
        <f>-B17</f>
        <v>-1103</v>
      </c>
      <c r="C1176" s="11" t="str">
        <f>C17</f>
        <v>Bancos y otras instituciones financieras</v>
      </c>
      <c r="D1176" s="37">
        <f t="shared" ref="D1176:K1176" si="104">-D17</f>
        <v>-28.581109999999999</v>
      </c>
      <c r="E1176" s="37">
        <f t="shared" si="104"/>
        <v>-28.581109999999999</v>
      </c>
      <c r="F1176" s="37">
        <f t="shared" si="104"/>
        <v>-174731.46230000001</v>
      </c>
      <c r="G1176" s="37">
        <f t="shared" si="104"/>
        <v>-36410.580070000004</v>
      </c>
      <c r="H1176" s="37">
        <f t="shared" si="104"/>
        <v>-21303.198619999999</v>
      </c>
      <c r="I1176" s="37">
        <f t="shared" si="104"/>
        <v>-232445.24099000002</v>
      </c>
      <c r="J1176" s="37">
        <f t="shared" si="104"/>
        <v>-232473.82210000002</v>
      </c>
      <c r="K1176" s="37">
        <f t="shared" si="104"/>
        <v>-122183.12802</v>
      </c>
    </row>
    <row r="1177" spans="1:12" ht="15" x14ac:dyDescent="0.25">
      <c r="A1177" s="15">
        <v>1171</v>
      </c>
      <c r="B1177" s="36" t="s">
        <v>616</v>
      </c>
      <c r="C1177" s="36" t="s">
        <v>615</v>
      </c>
      <c r="D1177" s="37">
        <f>SUM(D1175:D1176)</f>
        <v>20309.923480000001</v>
      </c>
      <c r="E1177" s="37">
        <f t="shared" ref="E1177:K1177" si="105">SUM(E1175:E1176)</f>
        <v>20309.923480000001</v>
      </c>
      <c r="F1177" s="37">
        <f t="shared" si="105"/>
        <v>2.7849999999743886</v>
      </c>
      <c r="G1177" s="37">
        <f t="shared" si="105"/>
        <v>94646.207579999988</v>
      </c>
      <c r="H1177" s="37">
        <f t="shared" si="105"/>
        <v>7190.2027000000016</v>
      </c>
      <c r="I1177" s="37">
        <f t="shared" si="105"/>
        <v>101839.19527999999</v>
      </c>
      <c r="J1177" s="37">
        <f t="shared" si="105"/>
        <v>122149.11876000001</v>
      </c>
      <c r="K1177" s="37">
        <f t="shared" si="105"/>
        <v>0</v>
      </c>
    </row>
    <row r="1178" spans="1:12" x14ac:dyDescent="0.2">
      <c r="A1178" s="15">
        <v>1172</v>
      </c>
      <c r="D1178" s="37"/>
      <c r="E1178" s="37"/>
      <c r="F1178" s="37"/>
      <c r="G1178" s="37"/>
      <c r="H1178" s="37"/>
      <c r="I1178" s="37"/>
      <c r="J1178" s="37"/>
      <c r="K1178" s="37"/>
    </row>
    <row r="1179" spans="1:12" s="36" customFormat="1" ht="15" x14ac:dyDescent="0.25">
      <c r="A1179" s="15">
        <v>1173</v>
      </c>
      <c r="B1179" s="36" t="s">
        <v>617</v>
      </c>
      <c r="C1179" s="36" t="s">
        <v>618</v>
      </c>
      <c r="D1179" s="37">
        <f>+D1171-D1177</f>
        <v>21444.118020000005</v>
      </c>
      <c r="E1179" s="37">
        <f t="shared" ref="E1179:K1179" si="106">+E1171-E1177</f>
        <v>21444.118020000005</v>
      </c>
      <c r="F1179" s="37">
        <f t="shared" si="106"/>
        <v>75079.194829999993</v>
      </c>
      <c r="G1179" s="37">
        <f t="shared" si="106"/>
        <v>315232.95192999998</v>
      </c>
      <c r="H1179" s="37">
        <f t="shared" si="106"/>
        <v>156060.83443000005</v>
      </c>
      <c r="I1179" s="37">
        <f t="shared" si="106"/>
        <v>546372.98118999996</v>
      </c>
      <c r="J1179" s="37">
        <f t="shared" si="106"/>
        <v>567817.09921000001</v>
      </c>
      <c r="K1179" s="37">
        <f t="shared" si="106"/>
        <v>28460.948949999991</v>
      </c>
      <c r="L1179" s="11"/>
    </row>
    <row r="1180" spans="1:12" s="36" customFormat="1" ht="15" x14ac:dyDescent="0.25">
      <c r="A1180" s="15">
        <v>1174</v>
      </c>
      <c r="B1180" s="11"/>
      <c r="C1180" s="11"/>
      <c r="D1180" s="37"/>
      <c r="E1180" s="37"/>
      <c r="F1180" s="37"/>
      <c r="G1180" s="37"/>
      <c r="H1180" s="37"/>
      <c r="I1180" s="37"/>
      <c r="J1180" s="37"/>
      <c r="K1180" s="37"/>
      <c r="L1180" s="11"/>
    </row>
    <row r="1181" spans="1:12" x14ac:dyDescent="0.2">
      <c r="A1181" s="15">
        <v>1175</v>
      </c>
      <c r="C1181" s="11" t="s">
        <v>619</v>
      </c>
      <c r="D1181" s="37"/>
      <c r="E1181" s="37"/>
      <c r="F1181" s="37"/>
      <c r="G1181" s="37"/>
      <c r="H1181" s="37"/>
      <c r="I1181" s="37"/>
      <c r="J1181" s="37"/>
      <c r="K1181" s="37"/>
    </row>
    <row r="1182" spans="1:12" x14ac:dyDescent="0.2">
      <c r="A1182" s="15">
        <v>1176</v>
      </c>
      <c r="C1182" s="11" t="s">
        <v>620</v>
      </c>
      <c r="D1182" s="37"/>
      <c r="E1182" s="37"/>
      <c r="F1182" s="37"/>
      <c r="G1182" s="37"/>
      <c r="H1182" s="37"/>
      <c r="I1182" s="37"/>
      <c r="J1182" s="37"/>
      <c r="K1182" s="37"/>
    </row>
    <row r="1183" spans="1:12" x14ac:dyDescent="0.2">
      <c r="A1183" s="15">
        <v>1177</v>
      </c>
      <c r="C1183" s="11" t="s">
        <v>621</v>
      </c>
      <c r="D1183" s="37"/>
      <c r="E1183" s="37"/>
      <c r="F1183" s="37"/>
      <c r="G1183" s="37"/>
      <c r="H1183" s="37"/>
      <c r="I1183" s="37"/>
      <c r="J1183" s="37"/>
      <c r="K1183" s="37"/>
    </row>
    <row r="1184" spans="1:12" ht="15" x14ac:dyDescent="0.25">
      <c r="A1184" s="15">
        <v>1178</v>
      </c>
      <c r="C1184" s="38" t="s">
        <v>622</v>
      </c>
      <c r="D1184" s="37"/>
      <c r="E1184" s="37"/>
      <c r="F1184" s="37"/>
      <c r="G1184" s="37"/>
      <c r="H1184" s="37"/>
      <c r="I1184" s="37"/>
      <c r="J1184" s="37"/>
      <c r="K1184" s="37"/>
    </row>
    <row r="1185" spans="1:11" x14ac:dyDescent="0.2">
      <c r="A1185" s="15">
        <v>1179</v>
      </c>
      <c r="B1185" s="11">
        <f>+B625</f>
        <v>2101</v>
      </c>
      <c r="C1185" s="11" t="str">
        <f>+C625</f>
        <v>Depósitos a la vista</v>
      </c>
      <c r="D1185" s="37">
        <f t="shared" ref="D1185:K1185" si="107">+D625</f>
        <v>20782.49872</v>
      </c>
      <c r="E1185" s="37">
        <f t="shared" si="107"/>
        <v>20782.49872</v>
      </c>
      <c r="F1185" s="37">
        <f t="shared" si="107"/>
        <v>0</v>
      </c>
      <c r="G1185" s="37">
        <f t="shared" si="107"/>
        <v>692955.14200999995</v>
      </c>
      <c r="H1185" s="37">
        <f t="shared" si="107"/>
        <v>0</v>
      </c>
      <c r="I1185" s="37">
        <f t="shared" si="107"/>
        <v>692955.14200999995</v>
      </c>
      <c r="J1185" s="37">
        <f t="shared" si="107"/>
        <v>713737.64072999998</v>
      </c>
      <c r="K1185" s="37">
        <f t="shared" si="107"/>
        <v>0</v>
      </c>
    </row>
    <row r="1186" spans="1:11" x14ac:dyDescent="0.2">
      <c r="A1186" s="15">
        <v>1180</v>
      </c>
      <c r="B1186" s="11">
        <f>-B627</f>
        <v>-210110</v>
      </c>
      <c r="C1186" s="11" t="str">
        <f>C627</f>
        <v>Depósitos monetarios que no generan intereses</v>
      </c>
      <c r="D1186" s="37">
        <f t="shared" ref="D1186:K1186" si="108">-D627</f>
        <v>0</v>
      </c>
      <c r="E1186" s="37">
        <f t="shared" si="108"/>
        <v>0</v>
      </c>
      <c r="F1186" s="37">
        <f t="shared" si="108"/>
        <v>0</v>
      </c>
      <c r="G1186" s="37">
        <f t="shared" si="108"/>
        <v>-50962.883370000003</v>
      </c>
      <c r="H1186" s="37">
        <f t="shared" si="108"/>
        <v>0</v>
      </c>
      <c r="I1186" s="37">
        <f t="shared" si="108"/>
        <v>-50962.883370000003</v>
      </c>
      <c r="J1186" s="37">
        <f t="shared" si="108"/>
        <v>-50962.883370000003</v>
      </c>
      <c r="K1186" s="37">
        <f t="shared" si="108"/>
        <v>0</v>
      </c>
    </row>
    <row r="1187" spans="1:11" x14ac:dyDescent="0.2">
      <c r="A1187" s="15">
        <v>1181</v>
      </c>
      <c r="B1187" s="11">
        <f>-B631</f>
        <v>-210130</v>
      </c>
      <c r="C1187" s="11" t="str">
        <f>C631</f>
        <v>Cheques certificados</v>
      </c>
      <c r="D1187" s="37">
        <f t="shared" ref="D1187:K1187" si="109">-D631</f>
        <v>0</v>
      </c>
      <c r="E1187" s="37">
        <f t="shared" si="109"/>
        <v>0</v>
      </c>
      <c r="F1187" s="37">
        <f t="shared" si="109"/>
        <v>0</v>
      </c>
      <c r="G1187" s="37">
        <f t="shared" si="109"/>
        <v>-414.96645999999998</v>
      </c>
      <c r="H1187" s="37">
        <f t="shared" si="109"/>
        <v>0</v>
      </c>
      <c r="I1187" s="37">
        <f t="shared" si="109"/>
        <v>-414.96645999999998</v>
      </c>
      <c r="J1187" s="37">
        <f t="shared" si="109"/>
        <v>-414.96645999999998</v>
      </c>
      <c r="K1187" s="37">
        <f t="shared" si="109"/>
        <v>0</v>
      </c>
    </row>
    <row r="1188" spans="1:11" x14ac:dyDescent="0.2">
      <c r="A1188" s="15">
        <v>1182</v>
      </c>
      <c r="B1188" s="11">
        <f>-B635</f>
        <v>-210150</v>
      </c>
      <c r="C1188" s="11" t="str">
        <f>C635</f>
        <v>Depósitos por confirmar</v>
      </c>
      <c r="D1188" s="37">
        <f t="shared" ref="D1188:K1188" si="110">-D635</f>
        <v>-3.8725399999999999</v>
      </c>
      <c r="E1188" s="37">
        <f t="shared" si="110"/>
        <v>-3.8725399999999999</v>
      </c>
      <c r="F1188" s="37">
        <f t="shared" si="110"/>
        <v>0</v>
      </c>
      <c r="G1188" s="37">
        <f t="shared" si="110"/>
        <v>-3903.6243599999998</v>
      </c>
      <c r="H1188" s="37">
        <f t="shared" si="110"/>
        <v>0</v>
      </c>
      <c r="I1188" s="37">
        <f t="shared" si="110"/>
        <v>-3903.6243599999998</v>
      </c>
      <c r="J1188" s="37">
        <f t="shared" si="110"/>
        <v>-3907.4968999999996</v>
      </c>
      <c r="K1188" s="37">
        <f t="shared" si="110"/>
        <v>0</v>
      </c>
    </row>
    <row r="1189" spans="1:11" x14ac:dyDescent="0.2">
      <c r="A1189" s="15">
        <v>1183</v>
      </c>
      <c r="B1189" s="11">
        <f>+B637</f>
        <v>2102</v>
      </c>
      <c r="C1189" s="11" t="str">
        <f>+C637</f>
        <v>Operaciones de reporto</v>
      </c>
      <c r="D1189" s="37">
        <f t="shared" ref="D1189:K1189" si="111">+D637</f>
        <v>0</v>
      </c>
      <c r="E1189" s="37">
        <f t="shared" si="111"/>
        <v>0</v>
      </c>
      <c r="F1189" s="37">
        <f t="shared" si="111"/>
        <v>0</v>
      </c>
      <c r="G1189" s="37">
        <f t="shared" si="111"/>
        <v>0</v>
      </c>
      <c r="H1189" s="37">
        <f t="shared" si="111"/>
        <v>0</v>
      </c>
      <c r="I1189" s="37">
        <f t="shared" si="111"/>
        <v>0</v>
      </c>
      <c r="J1189" s="37">
        <f t="shared" si="111"/>
        <v>0</v>
      </c>
      <c r="K1189" s="37">
        <f t="shared" si="111"/>
        <v>0</v>
      </c>
    </row>
    <row r="1190" spans="1:11" x14ac:dyDescent="0.2">
      <c r="A1190" s="15">
        <v>1184</v>
      </c>
      <c r="B1190" s="11">
        <f>-B639</f>
        <v>-210210</v>
      </c>
      <c r="C1190" s="11" t="str">
        <f>C639</f>
        <v>Operaciones de reporto por confirmar</v>
      </c>
      <c r="D1190" s="37">
        <f t="shared" ref="D1190:K1190" si="112">-D639</f>
        <v>0</v>
      </c>
      <c r="E1190" s="37">
        <f t="shared" si="112"/>
        <v>0</v>
      </c>
      <c r="F1190" s="37">
        <f t="shared" si="112"/>
        <v>0</v>
      </c>
      <c r="G1190" s="37">
        <f t="shared" si="112"/>
        <v>0</v>
      </c>
      <c r="H1190" s="37">
        <f t="shared" si="112"/>
        <v>0</v>
      </c>
      <c r="I1190" s="37">
        <f t="shared" si="112"/>
        <v>0</v>
      </c>
      <c r="J1190" s="37">
        <f t="shared" si="112"/>
        <v>0</v>
      </c>
      <c r="K1190" s="37">
        <f t="shared" si="112"/>
        <v>0</v>
      </c>
    </row>
    <row r="1191" spans="1:11" x14ac:dyDescent="0.2">
      <c r="A1191" s="15">
        <v>1185</v>
      </c>
      <c r="B1191" s="11">
        <f>+B641</f>
        <v>2103</v>
      </c>
      <c r="C1191" s="11" t="str">
        <f>+C641</f>
        <v>Depósitos a plazo</v>
      </c>
      <c r="D1191" s="37">
        <f t="shared" ref="D1191:K1191" si="113">+D641</f>
        <v>112499.99999</v>
      </c>
      <c r="E1191" s="37">
        <f t="shared" si="113"/>
        <v>112499.99999</v>
      </c>
      <c r="F1191" s="37">
        <f t="shared" si="113"/>
        <v>427092.83601000003</v>
      </c>
      <c r="G1191" s="37">
        <f t="shared" si="113"/>
        <v>312474.36018999998</v>
      </c>
      <c r="H1191" s="37">
        <f t="shared" si="113"/>
        <v>1181384.28309</v>
      </c>
      <c r="I1191" s="37">
        <f t="shared" si="113"/>
        <v>1920951.4792900002</v>
      </c>
      <c r="J1191" s="37">
        <f t="shared" si="113"/>
        <v>2033451.4792800001</v>
      </c>
      <c r="K1191" s="37">
        <f t="shared" si="113"/>
        <v>0</v>
      </c>
    </row>
    <row r="1192" spans="1:11" x14ac:dyDescent="0.2">
      <c r="A1192" s="15">
        <v>1186</v>
      </c>
      <c r="B1192" s="11">
        <f>-B647</f>
        <v>-210330</v>
      </c>
      <c r="C1192" s="11" t="str">
        <f>C647</f>
        <v>Depósitos por confirmar</v>
      </c>
      <c r="D1192" s="37">
        <f t="shared" ref="D1192:K1192" si="114">-D647</f>
        <v>0</v>
      </c>
      <c r="E1192" s="37">
        <f t="shared" si="114"/>
        <v>0</v>
      </c>
      <c r="F1192" s="37">
        <f t="shared" si="114"/>
        <v>0</v>
      </c>
      <c r="G1192" s="37">
        <f t="shared" si="114"/>
        <v>-20</v>
      </c>
      <c r="H1192" s="37">
        <f t="shared" si="114"/>
        <v>0</v>
      </c>
      <c r="I1192" s="37">
        <f t="shared" si="114"/>
        <v>-20</v>
      </c>
      <c r="J1192" s="37">
        <f t="shared" si="114"/>
        <v>-20</v>
      </c>
      <c r="K1192" s="37">
        <f t="shared" si="114"/>
        <v>0</v>
      </c>
    </row>
    <row r="1193" spans="1:11" x14ac:dyDescent="0.2">
      <c r="A1193" s="15">
        <v>1187</v>
      </c>
      <c r="B1193" s="11">
        <f t="shared" ref="B1193:K1195" si="115">+B648</f>
        <v>2104</v>
      </c>
      <c r="C1193" s="11" t="str">
        <f t="shared" si="115"/>
        <v>Depósitos de garantía</v>
      </c>
      <c r="D1193" s="37">
        <f t="shared" si="115"/>
        <v>26723.98444</v>
      </c>
      <c r="E1193" s="37">
        <f t="shared" si="115"/>
        <v>26723.98444</v>
      </c>
      <c r="F1193" s="37">
        <f t="shared" si="115"/>
        <v>0</v>
      </c>
      <c r="G1193" s="37">
        <f t="shared" si="115"/>
        <v>1267.27082</v>
      </c>
      <c r="H1193" s="37">
        <f t="shared" si="115"/>
        <v>0</v>
      </c>
      <c r="I1193" s="37">
        <f t="shared" si="115"/>
        <v>1267.27082</v>
      </c>
      <c r="J1193" s="37">
        <f t="shared" si="115"/>
        <v>27991.255260000002</v>
      </c>
      <c r="K1193" s="37">
        <f t="shared" si="115"/>
        <v>0</v>
      </c>
    </row>
    <row r="1194" spans="1:11" x14ac:dyDescent="0.2">
      <c r="A1194" s="15">
        <v>1188</v>
      </c>
      <c r="B1194" s="11">
        <f t="shared" si="115"/>
        <v>2105</v>
      </c>
      <c r="C1194" s="11" t="str">
        <f t="shared" si="115"/>
        <v>Depósitos restringidos</v>
      </c>
      <c r="D1194" s="37">
        <f>+D649</f>
        <v>0</v>
      </c>
      <c r="E1194" s="37">
        <f t="shared" si="115"/>
        <v>0</v>
      </c>
      <c r="F1194" s="37">
        <f t="shared" si="115"/>
        <v>0</v>
      </c>
      <c r="G1194" s="37">
        <f t="shared" si="115"/>
        <v>0</v>
      </c>
      <c r="H1194" s="37">
        <f t="shared" si="115"/>
        <v>0</v>
      </c>
      <c r="I1194" s="37">
        <f t="shared" si="115"/>
        <v>0</v>
      </c>
      <c r="J1194" s="37">
        <f t="shared" si="115"/>
        <v>0</v>
      </c>
      <c r="K1194" s="37">
        <f t="shared" si="115"/>
        <v>0</v>
      </c>
    </row>
    <row r="1195" spans="1:11" x14ac:dyDescent="0.2">
      <c r="A1195" s="15">
        <v>1189</v>
      </c>
      <c r="B1195" s="11">
        <f t="shared" si="115"/>
        <v>22</v>
      </c>
      <c r="C1195" s="11" t="str">
        <f t="shared" si="115"/>
        <v>OPERACIONES INTERBANCARIAS</v>
      </c>
      <c r="D1195" s="37">
        <f t="shared" si="115"/>
        <v>0</v>
      </c>
      <c r="E1195" s="37">
        <f t="shared" si="115"/>
        <v>0</v>
      </c>
      <c r="F1195" s="37">
        <f t="shared" si="115"/>
        <v>0</v>
      </c>
      <c r="G1195" s="37">
        <f t="shared" si="115"/>
        <v>0</v>
      </c>
      <c r="H1195" s="37">
        <f t="shared" si="115"/>
        <v>655</v>
      </c>
      <c r="I1195" s="37">
        <f t="shared" si="115"/>
        <v>655</v>
      </c>
      <c r="J1195" s="37">
        <f t="shared" si="115"/>
        <v>655</v>
      </c>
      <c r="K1195" s="37">
        <f t="shared" si="115"/>
        <v>0</v>
      </c>
    </row>
    <row r="1196" spans="1:11" x14ac:dyDescent="0.2">
      <c r="A1196" s="15">
        <v>1190</v>
      </c>
      <c r="B1196" s="11">
        <f>-B658</f>
        <v>-2203</v>
      </c>
      <c r="C1196" s="11" t="str">
        <f>C658</f>
        <v>Operaciones por confirmar</v>
      </c>
      <c r="D1196" s="37">
        <f t="shared" ref="D1196:K1196" si="116">-D658</f>
        <v>0</v>
      </c>
      <c r="E1196" s="37">
        <f t="shared" si="116"/>
        <v>0</v>
      </c>
      <c r="F1196" s="37">
        <f t="shared" si="116"/>
        <v>0</v>
      </c>
      <c r="G1196" s="37">
        <f t="shared" si="116"/>
        <v>0</v>
      </c>
      <c r="H1196" s="37">
        <f t="shared" si="116"/>
        <v>0</v>
      </c>
      <c r="I1196" s="37">
        <f t="shared" si="116"/>
        <v>0</v>
      </c>
      <c r="J1196" s="37">
        <f t="shared" si="116"/>
        <v>0</v>
      </c>
      <c r="K1196" s="37">
        <f t="shared" si="116"/>
        <v>0</v>
      </c>
    </row>
    <row r="1197" spans="1:11" x14ac:dyDescent="0.2">
      <c r="A1197" s="15">
        <v>1191</v>
      </c>
      <c r="B1197" s="11">
        <f>+B713</f>
        <v>26</v>
      </c>
      <c r="C1197" s="11" t="str">
        <f>+C713</f>
        <v>OBLIGACIONES FINANCIERAS</v>
      </c>
      <c r="D1197" s="37">
        <f t="shared" ref="D1197:K1197" si="117">+D713</f>
        <v>917.75852999999995</v>
      </c>
      <c r="E1197" s="37">
        <f t="shared" si="117"/>
        <v>917.75852999999995</v>
      </c>
      <c r="F1197" s="37">
        <f t="shared" si="117"/>
        <v>13970.07429</v>
      </c>
      <c r="G1197" s="37">
        <f t="shared" si="117"/>
        <v>241.19851</v>
      </c>
      <c r="H1197" s="37">
        <f t="shared" si="117"/>
        <v>100048.11142</v>
      </c>
      <c r="I1197" s="37">
        <f t="shared" si="117"/>
        <v>114259.38422000001</v>
      </c>
      <c r="J1197" s="37">
        <f t="shared" si="117"/>
        <v>115177.14275000001</v>
      </c>
      <c r="K1197" s="37">
        <f t="shared" si="117"/>
        <v>0</v>
      </c>
    </row>
    <row r="1198" spans="1:11" x14ac:dyDescent="0.2">
      <c r="A1198" s="15">
        <v>1192</v>
      </c>
      <c r="B1198" s="11">
        <f>+B769</f>
        <v>27</v>
      </c>
      <c r="C1198" s="11" t="str">
        <f>+C769</f>
        <v>VALORES EN CIRCULACION</v>
      </c>
      <c r="D1198" s="37">
        <f t="shared" ref="D1198:K1198" si="118">+D769</f>
        <v>0</v>
      </c>
      <c r="E1198" s="37">
        <f t="shared" si="118"/>
        <v>0</v>
      </c>
      <c r="F1198" s="37">
        <f t="shared" si="118"/>
        <v>0</v>
      </c>
      <c r="G1198" s="37">
        <f t="shared" si="118"/>
        <v>0</v>
      </c>
      <c r="H1198" s="37">
        <f t="shared" si="118"/>
        <v>0</v>
      </c>
      <c r="I1198" s="37">
        <f t="shared" si="118"/>
        <v>0</v>
      </c>
      <c r="J1198" s="37">
        <f t="shared" si="118"/>
        <v>0</v>
      </c>
      <c r="K1198" s="37">
        <f t="shared" si="118"/>
        <v>0</v>
      </c>
    </row>
    <row r="1199" spans="1:11" x14ac:dyDescent="0.2">
      <c r="A1199" s="15">
        <v>1193</v>
      </c>
      <c r="B1199" s="11">
        <f>-B782</f>
        <v>-2790</v>
      </c>
      <c r="C1199" s="11" t="str">
        <f>C782</f>
        <v>Prima o descuento en colocación de valores en circulación</v>
      </c>
      <c r="D1199" s="37">
        <f t="shared" ref="D1199:K1199" si="119">-D782</f>
        <v>0</v>
      </c>
      <c r="E1199" s="37">
        <f t="shared" si="119"/>
        <v>0</v>
      </c>
      <c r="F1199" s="37">
        <f t="shared" si="119"/>
        <v>0</v>
      </c>
      <c r="G1199" s="37">
        <f t="shared" si="119"/>
        <v>0</v>
      </c>
      <c r="H1199" s="37">
        <f t="shared" si="119"/>
        <v>0</v>
      </c>
      <c r="I1199" s="37">
        <f t="shared" si="119"/>
        <v>0</v>
      </c>
      <c r="J1199" s="37">
        <f t="shared" si="119"/>
        <v>0</v>
      </c>
      <c r="K1199" s="37">
        <f t="shared" si="119"/>
        <v>0</v>
      </c>
    </row>
    <row r="1200" spans="1:11" x14ac:dyDescent="0.2">
      <c r="A1200" s="15">
        <v>1194</v>
      </c>
      <c r="B1200" s="11">
        <f>+B785</f>
        <v>280105</v>
      </c>
      <c r="C1200" s="11" t="str">
        <f>+C785</f>
        <v>Obligaciones convertibles en acciones</v>
      </c>
      <c r="D1200" s="37">
        <f t="shared" ref="D1200:K1200" si="120">+D785</f>
        <v>0</v>
      </c>
      <c r="E1200" s="37">
        <f t="shared" si="120"/>
        <v>0</v>
      </c>
      <c r="F1200" s="37">
        <f t="shared" si="120"/>
        <v>0</v>
      </c>
      <c r="G1200" s="37">
        <f t="shared" si="120"/>
        <v>0</v>
      </c>
      <c r="H1200" s="37">
        <f t="shared" si="120"/>
        <v>0</v>
      </c>
      <c r="I1200" s="37">
        <f t="shared" si="120"/>
        <v>0</v>
      </c>
      <c r="J1200" s="37">
        <f t="shared" si="120"/>
        <v>0</v>
      </c>
      <c r="K1200" s="37">
        <f t="shared" si="120"/>
        <v>0</v>
      </c>
    </row>
    <row r="1201" spans="1:12" x14ac:dyDescent="0.2">
      <c r="A1201" s="15">
        <v>1195</v>
      </c>
      <c r="B1201" s="11">
        <f>+B796</f>
        <v>2903</v>
      </c>
      <c r="C1201" s="11" t="str">
        <f>+C796</f>
        <v>Fondos en administración</v>
      </c>
      <c r="D1201" s="37">
        <f t="shared" ref="D1201:K1202" si="121">+D796</f>
        <v>11379.2</v>
      </c>
      <c r="E1201" s="37">
        <f t="shared" si="121"/>
        <v>11379.2</v>
      </c>
      <c r="F1201" s="37">
        <f t="shared" si="121"/>
        <v>362387.02649999998</v>
      </c>
      <c r="G1201" s="37">
        <f t="shared" si="121"/>
        <v>34813.338810000001</v>
      </c>
      <c r="H1201" s="37">
        <f t="shared" si="121"/>
        <v>470.88693999999998</v>
      </c>
      <c r="I1201" s="37">
        <f t="shared" si="121"/>
        <v>397671.25224999996</v>
      </c>
      <c r="J1201" s="37">
        <f t="shared" si="121"/>
        <v>409050.45224999997</v>
      </c>
      <c r="K1201" s="37">
        <f t="shared" si="121"/>
        <v>32574.834210000001</v>
      </c>
    </row>
    <row r="1202" spans="1:12" x14ac:dyDescent="0.2">
      <c r="A1202" s="15">
        <v>1196</v>
      </c>
      <c r="B1202" s="11">
        <f>+B797</f>
        <v>2904</v>
      </c>
      <c r="C1202" s="11" t="str">
        <f>+C797</f>
        <v>Fondo de reserva empleados</v>
      </c>
      <c r="D1202" s="37">
        <f t="shared" si="121"/>
        <v>2.8799000000000001</v>
      </c>
      <c r="E1202" s="37">
        <f t="shared" si="121"/>
        <v>2.8799000000000001</v>
      </c>
      <c r="F1202" s="37">
        <f t="shared" si="121"/>
        <v>26.36326</v>
      </c>
      <c r="G1202" s="37">
        <f t="shared" si="121"/>
        <v>120.22684</v>
      </c>
      <c r="H1202" s="37">
        <f t="shared" si="121"/>
        <v>0</v>
      </c>
      <c r="I1202" s="37">
        <f t="shared" si="121"/>
        <v>146.59010000000001</v>
      </c>
      <c r="J1202" s="37">
        <f t="shared" si="121"/>
        <v>149.47</v>
      </c>
      <c r="K1202" s="37">
        <f t="shared" si="121"/>
        <v>0</v>
      </c>
    </row>
    <row r="1203" spans="1:12" ht="15" x14ac:dyDescent="0.25">
      <c r="A1203" s="15">
        <v>1197</v>
      </c>
      <c r="C1203" s="36" t="s">
        <v>623</v>
      </c>
      <c r="D1203" s="41">
        <f>SUM(D1185:D1202)</f>
        <v>172302.44904000001</v>
      </c>
      <c r="E1203" s="41">
        <f t="shared" ref="E1203:K1203" si="122">SUM(E1185:E1202)</f>
        <v>172302.44904000001</v>
      </c>
      <c r="F1203" s="41">
        <f t="shared" si="122"/>
        <v>803476.30006000004</v>
      </c>
      <c r="G1203" s="41">
        <f t="shared" si="122"/>
        <v>986570.06298999977</v>
      </c>
      <c r="H1203" s="41">
        <f t="shared" si="122"/>
        <v>1282558.2814500001</v>
      </c>
      <c r="I1203" s="41">
        <f t="shared" si="122"/>
        <v>3072604.6445000004</v>
      </c>
      <c r="J1203" s="41">
        <f t="shared" si="122"/>
        <v>3244907.0935400003</v>
      </c>
      <c r="K1203" s="41">
        <f t="shared" si="122"/>
        <v>32574.834210000001</v>
      </c>
    </row>
    <row r="1204" spans="1:12" x14ac:dyDescent="0.2">
      <c r="A1204" s="15">
        <v>1198</v>
      </c>
      <c r="D1204" s="37"/>
      <c r="E1204" s="37"/>
      <c r="F1204" s="37"/>
      <c r="G1204" s="37"/>
      <c r="H1204" s="37"/>
      <c r="I1204" s="37"/>
      <c r="J1204" s="37"/>
      <c r="K1204" s="37"/>
    </row>
    <row r="1205" spans="1:12" ht="15" x14ac:dyDescent="0.25">
      <c r="A1205" s="15">
        <v>1199</v>
      </c>
      <c r="C1205" s="38" t="s">
        <v>609</v>
      </c>
      <c r="D1205" s="37"/>
      <c r="E1205" s="37"/>
      <c r="F1205" s="37"/>
      <c r="G1205" s="37"/>
      <c r="H1205" s="37"/>
      <c r="I1205" s="37"/>
      <c r="J1205" s="37"/>
      <c r="K1205" s="37"/>
    </row>
    <row r="1206" spans="1:12" x14ac:dyDescent="0.2">
      <c r="A1206" s="15">
        <v>1200</v>
      </c>
      <c r="B1206" s="11">
        <f>+B83</f>
        <v>1399</v>
      </c>
      <c r="C1206" s="11" t="str">
        <f>+C83</f>
        <v>(Provisión para inversiones)</v>
      </c>
      <c r="D1206" s="37">
        <f t="shared" ref="D1206:K1206" si="123">+D83</f>
        <v>-0.54990000000000006</v>
      </c>
      <c r="E1206" s="37">
        <f t="shared" si="123"/>
        <v>-0.54990000000000006</v>
      </c>
      <c r="F1206" s="37">
        <f t="shared" si="123"/>
        <v>0</v>
      </c>
      <c r="G1206" s="37">
        <f t="shared" si="123"/>
        <v>-593.72847000000002</v>
      </c>
      <c r="H1206" s="37">
        <f t="shared" si="123"/>
        <v>-58.060220000000001</v>
      </c>
      <c r="I1206" s="37">
        <f t="shared" si="123"/>
        <v>-651.78868999999997</v>
      </c>
      <c r="J1206" s="37">
        <f t="shared" si="123"/>
        <v>-652.33858999999995</v>
      </c>
      <c r="K1206" s="37">
        <f t="shared" si="123"/>
        <v>0</v>
      </c>
    </row>
    <row r="1207" spans="1:12" x14ac:dyDescent="0.2">
      <c r="A1207" s="15">
        <v>1201</v>
      </c>
      <c r="B1207" s="11">
        <f>+B414</f>
        <v>1499</v>
      </c>
      <c r="C1207" s="11" t="str">
        <f>+C414</f>
        <v>(Provisiones para créditos incobrables)</v>
      </c>
      <c r="D1207" s="37">
        <f t="shared" ref="D1207:K1207" si="124">+D414</f>
        <v>-16559.367289999998</v>
      </c>
      <c r="E1207" s="37">
        <f t="shared" si="124"/>
        <v>-16559.367289999998</v>
      </c>
      <c r="F1207" s="37">
        <f t="shared" si="124"/>
        <v>-11177.734270000001</v>
      </c>
      <c r="G1207" s="37">
        <f t="shared" si="124"/>
        <v>-105879.39492000001</v>
      </c>
      <c r="H1207" s="37">
        <f t="shared" si="124"/>
        <v>-74639.560490000003</v>
      </c>
      <c r="I1207" s="37">
        <f t="shared" si="124"/>
        <v>-191696.68968000001</v>
      </c>
      <c r="J1207" s="37">
        <f t="shared" si="124"/>
        <v>-208256.05697000001</v>
      </c>
      <c r="K1207" s="37">
        <f t="shared" si="124"/>
        <v>-14505.387930000001</v>
      </c>
    </row>
    <row r="1208" spans="1:12" x14ac:dyDescent="0.2">
      <c r="A1208" s="15">
        <v>1202</v>
      </c>
      <c r="B1208" s="11">
        <f>+B482</f>
        <v>1699</v>
      </c>
      <c r="C1208" s="11" t="str">
        <f>+C482</f>
        <v>(Provisión para cuentas por cobrar)</v>
      </c>
      <c r="D1208" s="37">
        <f t="shared" ref="D1208:K1208" si="125">+D482</f>
        <v>-7772.1702699999996</v>
      </c>
      <c r="E1208" s="37">
        <f t="shared" si="125"/>
        <v>-7772.1702699999996</v>
      </c>
      <c r="F1208" s="37">
        <f t="shared" si="125"/>
        <v>-908.53111000000001</v>
      </c>
      <c r="G1208" s="37">
        <f t="shared" si="125"/>
        <v>-6822.6737700000003</v>
      </c>
      <c r="H1208" s="37">
        <f t="shared" si="125"/>
        <v>-22473.845420000001</v>
      </c>
      <c r="I1208" s="37">
        <f t="shared" si="125"/>
        <v>-30205.050300000003</v>
      </c>
      <c r="J1208" s="37">
        <f t="shared" si="125"/>
        <v>-37977.220570000005</v>
      </c>
      <c r="K1208" s="37">
        <f t="shared" si="125"/>
        <v>-1233.9517599999999</v>
      </c>
    </row>
    <row r="1209" spans="1:12" x14ac:dyDescent="0.2">
      <c r="A1209" s="15">
        <v>1203</v>
      </c>
      <c r="B1209" s="11">
        <f>+B529</f>
        <v>1799</v>
      </c>
      <c r="C1209" s="11" t="str">
        <f>+C529</f>
        <v>(Provisión para bienes realizables, adjudicados por pago y recuperados)</v>
      </c>
      <c r="D1209" s="37">
        <f t="shared" ref="D1209:K1209" si="126">+D529</f>
        <v>-755.64005999999995</v>
      </c>
      <c r="E1209" s="37">
        <f t="shared" si="126"/>
        <v>-755.64005999999995</v>
      </c>
      <c r="F1209" s="37">
        <f t="shared" si="126"/>
        <v>-26.138200000000001</v>
      </c>
      <c r="G1209" s="37">
        <f t="shared" si="126"/>
        <v>-38.13879</v>
      </c>
      <c r="H1209" s="37">
        <f t="shared" si="126"/>
        <v>-8043.0837199999996</v>
      </c>
      <c r="I1209" s="37">
        <f t="shared" si="126"/>
        <v>-8107.3607099999999</v>
      </c>
      <c r="J1209" s="37">
        <f t="shared" si="126"/>
        <v>-8863.0007700000006</v>
      </c>
      <c r="K1209" s="37">
        <f t="shared" si="126"/>
        <v>0</v>
      </c>
    </row>
    <row r="1210" spans="1:12" x14ac:dyDescent="0.2">
      <c r="A1210" s="15">
        <v>1204</v>
      </c>
      <c r="B1210" s="11">
        <f>+B613</f>
        <v>1999</v>
      </c>
      <c r="C1210" s="11" t="str">
        <f>+C613</f>
        <v>(Provisión para otros activos irrecuperables)</v>
      </c>
      <c r="D1210" s="37">
        <f t="shared" ref="D1210:K1210" si="127">+D613</f>
        <v>-7524.29277</v>
      </c>
      <c r="E1210" s="37">
        <f t="shared" si="127"/>
        <v>-7524.29277</v>
      </c>
      <c r="F1210" s="37">
        <f t="shared" si="127"/>
        <v>-6.9180000000000005E-2</v>
      </c>
      <c r="G1210" s="37">
        <f t="shared" si="127"/>
        <v>-1904.67794</v>
      </c>
      <c r="H1210" s="37">
        <f t="shared" si="127"/>
        <v>-4960.8184700000002</v>
      </c>
      <c r="I1210" s="37">
        <f t="shared" si="127"/>
        <v>-6865.5655900000002</v>
      </c>
      <c r="J1210" s="37">
        <f t="shared" si="127"/>
        <v>-14389.85836</v>
      </c>
      <c r="K1210" s="37">
        <f t="shared" si="127"/>
        <v>-25.44472</v>
      </c>
    </row>
    <row r="1211" spans="1:12" ht="15" x14ac:dyDescent="0.25">
      <c r="A1211" s="15">
        <v>1205</v>
      </c>
      <c r="C1211" s="36" t="s">
        <v>611</v>
      </c>
      <c r="D1211" s="41">
        <f>SUM(D1206:D1210)</f>
        <v>-32612.02029</v>
      </c>
      <c r="E1211" s="41">
        <f t="shared" ref="E1211:K1211" si="128">SUM(E1206:E1210)</f>
        <v>-32612.02029</v>
      </c>
      <c r="F1211" s="41">
        <f t="shared" si="128"/>
        <v>-12112.472760000001</v>
      </c>
      <c r="G1211" s="41">
        <f t="shared" si="128"/>
        <v>-115238.61388999999</v>
      </c>
      <c r="H1211" s="41">
        <f t="shared" si="128"/>
        <v>-110175.36831999999</v>
      </c>
      <c r="I1211" s="41">
        <f t="shared" si="128"/>
        <v>-237526.45497000002</v>
      </c>
      <c r="J1211" s="41">
        <f t="shared" si="128"/>
        <v>-270138.47526000004</v>
      </c>
      <c r="K1211" s="41">
        <f t="shared" si="128"/>
        <v>-15764.78441</v>
      </c>
    </row>
    <row r="1212" spans="1:12" x14ac:dyDescent="0.2">
      <c r="A1212" s="15">
        <v>1206</v>
      </c>
      <c r="D1212" s="37"/>
      <c r="E1212" s="37"/>
      <c r="F1212" s="37"/>
      <c r="G1212" s="37"/>
      <c r="H1212" s="37"/>
      <c r="I1212" s="37"/>
      <c r="J1212" s="37"/>
      <c r="K1212" s="37"/>
    </row>
    <row r="1213" spans="1:12" ht="15" x14ac:dyDescent="0.25">
      <c r="A1213" s="15">
        <v>1207</v>
      </c>
      <c r="C1213" s="36" t="s">
        <v>624</v>
      </c>
      <c r="D1213" s="37"/>
      <c r="E1213" s="37"/>
      <c r="F1213" s="37"/>
      <c r="G1213" s="37"/>
      <c r="H1213" s="37"/>
      <c r="I1213" s="37"/>
      <c r="J1213" s="37"/>
      <c r="K1213" s="37"/>
    </row>
    <row r="1214" spans="1:12" x14ac:dyDescent="0.2">
      <c r="A1214" s="15">
        <v>1208</v>
      </c>
      <c r="B1214" s="11">
        <v>3</v>
      </c>
      <c r="C1214" s="11" t="s">
        <v>397</v>
      </c>
      <c r="D1214" s="37">
        <f>+D839</f>
        <v>82054.717470000003</v>
      </c>
      <c r="E1214" s="37">
        <f t="shared" ref="E1214:K1214" si="129">+E839</f>
        <v>82054.717470000003</v>
      </c>
      <c r="F1214" s="37">
        <f t="shared" si="129"/>
        <v>411672.34602</v>
      </c>
      <c r="G1214" s="37">
        <f t="shared" si="129"/>
        <v>414246.40025000001</v>
      </c>
      <c r="H1214" s="37">
        <f t="shared" si="129"/>
        <v>819897.06710999995</v>
      </c>
      <c r="I1214" s="37">
        <f t="shared" si="129"/>
        <v>1645815.8133799999</v>
      </c>
      <c r="J1214" s="37">
        <f t="shared" si="129"/>
        <v>1727870.53085</v>
      </c>
      <c r="K1214" s="37">
        <f t="shared" si="129"/>
        <v>363639.52811999997</v>
      </c>
    </row>
    <row r="1215" spans="1:12" x14ac:dyDescent="0.2">
      <c r="A1215" s="15">
        <v>1209</v>
      </c>
      <c r="B1215" s="42" t="s">
        <v>625</v>
      </c>
      <c r="C1215" s="43" t="s">
        <v>626</v>
      </c>
      <c r="D1215" s="44">
        <f>+D843-D619</f>
        <v>-5417.6589999999997</v>
      </c>
      <c r="E1215" s="44">
        <f t="shared" ref="E1215:K1215" si="130">+E843-E619</f>
        <v>-5417.6589999999997</v>
      </c>
      <c r="F1215" s="44">
        <f t="shared" si="130"/>
        <v>36275.517439999996</v>
      </c>
      <c r="G1215" s="44">
        <f t="shared" si="130"/>
        <v>-11016.225550000003</v>
      </c>
      <c r="H1215" s="44">
        <f t="shared" si="130"/>
        <v>67075.481349999987</v>
      </c>
      <c r="I1215" s="44">
        <f t="shared" si="130"/>
        <v>92334.773239999951</v>
      </c>
      <c r="J1215" s="44">
        <f t="shared" si="130"/>
        <v>86917.114239999966</v>
      </c>
      <c r="K1215" s="44">
        <f t="shared" si="130"/>
        <v>4469.0895900000014</v>
      </c>
      <c r="L1215" s="43"/>
    </row>
    <row r="1216" spans="1:12" ht="15" x14ac:dyDescent="0.25">
      <c r="A1216" s="15">
        <v>1210</v>
      </c>
      <c r="C1216" s="36" t="s">
        <v>627</v>
      </c>
      <c r="D1216" s="41">
        <f>SUM(D1214:D1215)</f>
        <v>76637.058470000004</v>
      </c>
      <c r="E1216" s="41">
        <f t="shared" ref="E1216:K1216" si="131">SUM(E1214:E1215)</f>
        <v>76637.058470000004</v>
      </c>
      <c r="F1216" s="41">
        <f t="shared" si="131"/>
        <v>447947.86346000002</v>
      </c>
      <c r="G1216" s="41">
        <f t="shared" si="131"/>
        <v>403230.17469999997</v>
      </c>
      <c r="H1216" s="41">
        <f t="shared" si="131"/>
        <v>886972.54845999996</v>
      </c>
      <c r="I1216" s="41">
        <f t="shared" si="131"/>
        <v>1738150.58662</v>
      </c>
      <c r="J1216" s="41">
        <f t="shared" si="131"/>
        <v>1814787.64509</v>
      </c>
      <c r="K1216" s="41">
        <f t="shared" si="131"/>
        <v>368108.61770999996</v>
      </c>
    </row>
    <row r="1217" spans="1:12" x14ac:dyDescent="0.2">
      <c r="A1217" s="15">
        <v>1211</v>
      </c>
      <c r="D1217" s="37"/>
      <c r="E1217" s="37"/>
      <c r="F1217" s="37"/>
      <c r="G1217" s="37"/>
      <c r="H1217" s="37"/>
      <c r="I1217" s="37"/>
      <c r="J1217" s="37"/>
      <c r="K1217" s="37"/>
    </row>
    <row r="1218" spans="1:12" ht="15" x14ac:dyDescent="0.25">
      <c r="A1218" s="15">
        <v>1212</v>
      </c>
      <c r="C1218" s="38" t="s">
        <v>628</v>
      </c>
      <c r="D1218" s="37"/>
      <c r="E1218" s="37"/>
      <c r="F1218" s="37"/>
      <c r="G1218" s="37"/>
      <c r="H1218" s="37"/>
      <c r="I1218" s="37"/>
      <c r="J1218" s="37"/>
      <c r="K1218" s="37"/>
    </row>
    <row r="1219" spans="1:12" x14ac:dyDescent="0.2">
      <c r="A1219" s="15">
        <v>1213</v>
      </c>
      <c r="B1219" s="11">
        <f>+B17</f>
        <v>1103</v>
      </c>
      <c r="C1219" s="11" t="str">
        <f>+C17</f>
        <v>Bancos y otras instituciones financieras</v>
      </c>
      <c r="D1219" s="37">
        <f t="shared" ref="D1219:K1219" si="132">+D17</f>
        <v>28.581109999999999</v>
      </c>
      <c r="E1219" s="37">
        <f t="shared" si="132"/>
        <v>28.581109999999999</v>
      </c>
      <c r="F1219" s="37">
        <f t="shared" si="132"/>
        <v>174731.46230000001</v>
      </c>
      <c r="G1219" s="37">
        <f t="shared" si="132"/>
        <v>36410.580070000004</v>
      </c>
      <c r="H1219" s="37">
        <f t="shared" si="132"/>
        <v>21303.198619999999</v>
      </c>
      <c r="I1219" s="37">
        <f t="shared" si="132"/>
        <v>232445.24099000002</v>
      </c>
      <c r="J1219" s="37">
        <f t="shared" si="132"/>
        <v>232473.82210000002</v>
      </c>
      <c r="K1219" s="37">
        <f t="shared" si="132"/>
        <v>122183.12802</v>
      </c>
    </row>
    <row r="1220" spans="1:12" x14ac:dyDescent="0.2">
      <c r="A1220" s="15">
        <v>1214</v>
      </c>
      <c r="B1220" s="11">
        <f>+B25</f>
        <v>12</v>
      </c>
      <c r="C1220" s="11" t="str">
        <f>+C25</f>
        <v>OPERACIONES INTERBANCARIAS</v>
      </c>
      <c r="D1220" s="37">
        <f>+D25</f>
        <v>0</v>
      </c>
      <c r="E1220" s="37">
        <f t="shared" ref="E1220:K1220" si="133">+E25</f>
        <v>0</v>
      </c>
      <c r="F1220" s="37">
        <f t="shared" si="133"/>
        <v>0</v>
      </c>
      <c r="G1220" s="37">
        <f t="shared" si="133"/>
        <v>0</v>
      </c>
      <c r="H1220" s="37">
        <f t="shared" si="133"/>
        <v>0</v>
      </c>
      <c r="I1220" s="37">
        <f t="shared" si="133"/>
        <v>0</v>
      </c>
      <c r="J1220" s="37">
        <f t="shared" si="133"/>
        <v>0</v>
      </c>
      <c r="K1220" s="37">
        <f t="shared" si="133"/>
        <v>0</v>
      </c>
    </row>
    <row r="1221" spans="1:12" x14ac:dyDescent="0.2">
      <c r="A1221" s="15">
        <v>1215</v>
      </c>
      <c r="B1221" s="11">
        <f>+B34</f>
        <v>13</v>
      </c>
      <c r="C1221" s="11" t="str">
        <f>+C34</f>
        <v>INVERSIONES</v>
      </c>
      <c r="D1221" s="37">
        <f>+D34</f>
        <v>25238.107919999999</v>
      </c>
      <c r="E1221" s="37">
        <f t="shared" ref="E1221:K1221" si="134">+E34</f>
        <v>25238.107919999999</v>
      </c>
      <c r="F1221" s="37">
        <f t="shared" si="134"/>
        <v>179922.13545</v>
      </c>
      <c r="G1221" s="37">
        <f t="shared" si="134"/>
        <v>289925.89643000002</v>
      </c>
      <c r="H1221" s="37">
        <f t="shared" si="134"/>
        <v>436885.92852999998</v>
      </c>
      <c r="I1221" s="37">
        <f t="shared" si="134"/>
        <v>906733.96041000006</v>
      </c>
      <c r="J1221" s="37">
        <f t="shared" si="134"/>
        <v>931972.06833000004</v>
      </c>
      <c r="K1221" s="37">
        <f t="shared" si="134"/>
        <v>0</v>
      </c>
    </row>
    <row r="1222" spans="1:12" x14ac:dyDescent="0.2">
      <c r="A1222" s="15">
        <v>1216</v>
      </c>
      <c r="B1222" s="39" t="s">
        <v>629</v>
      </c>
      <c r="C1222" s="11" t="s">
        <v>630</v>
      </c>
      <c r="D1222" s="37">
        <f>+D87+D93+D99+D105+D111+D117+D123+D129+D135+D141+D147+D153+D159+D165+D171+D177+D183+D189</f>
        <v>165053.54918999999</v>
      </c>
      <c r="E1222" s="37">
        <f t="shared" ref="E1222:K1222" si="135">+E87+E93+E99+E105+E111+E117+E123+E129+E135+E141+E147+E153+E159+E165+E171+E177+E183+E189</f>
        <v>165053.54918999999</v>
      </c>
      <c r="F1222" s="37">
        <f t="shared" si="135"/>
        <v>947585.53266999999</v>
      </c>
      <c r="G1222" s="37">
        <f t="shared" si="135"/>
        <v>776067.60799999989</v>
      </c>
      <c r="H1222" s="37">
        <f t="shared" si="135"/>
        <v>1121661.00178</v>
      </c>
      <c r="I1222" s="37">
        <f t="shared" si="135"/>
        <v>2845314.1424500002</v>
      </c>
      <c r="J1222" s="37">
        <f t="shared" si="135"/>
        <v>3010367.6916400003</v>
      </c>
      <c r="K1222" s="37">
        <f t="shared" si="135"/>
        <v>257687.12669</v>
      </c>
    </row>
    <row r="1223" spans="1:12" s="43" customFormat="1" x14ac:dyDescent="0.2">
      <c r="A1223" s="15">
        <v>1217</v>
      </c>
      <c r="B1223" s="11">
        <f>+B424</f>
        <v>15</v>
      </c>
      <c r="C1223" s="11" t="str">
        <f>+C424</f>
        <v>DEUDORES POR ACEPTACIONES</v>
      </c>
      <c r="D1223" s="37">
        <f t="shared" ref="D1223:K1223" si="136">+D424</f>
        <v>0</v>
      </c>
      <c r="E1223" s="37">
        <f t="shared" si="136"/>
        <v>0</v>
      </c>
      <c r="F1223" s="37">
        <f t="shared" si="136"/>
        <v>0</v>
      </c>
      <c r="G1223" s="37">
        <f t="shared" si="136"/>
        <v>0</v>
      </c>
      <c r="H1223" s="37">
        <f t="shared" si="136"/>
        <v>0</v>
      </c>
      <c r="I1223" s="37">
        <f t="shared" si="136"/>
        <v>0</v>
      </c>
      <c r="J1223" s="37">
        <f t="shared" si="136"/>
        <v>0</v>
      </c>
      <c r="K1223" s="37">
        <f t="shared" si="136"/>
        <v>0</v>
      </c>
      <c r="L1223" s="11"/>
    </row>
    <row r="1224" spans="1:12" x14ac:dyDescent="0.2">
      <c r="A1224" s="15">
        <v>1218</v>
      </c>
      <c r="B1224" s="11">
        <f t="shared" ref="B1224:K1226" si="137">+B487</f>
        <v>170105</v>
      </c>
      <c r="C1224" s="11" t="str">
        <f t="shared" si="137"/>
        <v>Terrenos</v>
      </c>
      <c r="D1224" s="37">
        <f t="shared" si="137"/>
        <v>16538.314839999999</v>
      </c>
      <c r="E1224" s="37">
        <f t="shared" si="137"/>
        <v>16538.314839999999</v>
      </c>
      <c r="F1224" s="37">
        <f t="shared" si="137"/>
        <v>0</v>
      </c>
      <c r="G1224" s="37">
        <f t="shared" si="137"/>
        <v>0</v>
      </c>
      <c r="H1224" s="37">
        <f t="shared" si="137"/>
        <v>0</v>
      </c>
      <c r="I1224" s="37">
        <f t="shared" si="137"/>
        <v>0</v>
      </c>
      <c r="J1224" s="37">
        <f t="shared" si="137"/>
        <v>16538.314839999999</v>
      </c>
      <c r="K1224" s="37">
        <f t="shared" si="137"/>
        <v>0</v>
      </c>
    </row>
    <row r="1225" spans="1:12" x14ac:dyDescent="0.2">
      <c r="A1225" s="15">
        <v>1219</v>
      </c>
      <c r="B1225" s="11">
        <f t="shared" si="137"/>
        <v>170110</v>
      </c>
      <c r="C1225" s="11" t="str">
        <f t="shared" si="137"/>
        <v>Obras de urbanización</v>
      </c>
      <c r="D1225" s="37">
        <f t="shared" si="137"/>
        <v>470.5403</v>
      </c>
      <c r="E1225" s="37">
        <f t="shared" si="137"/>
        <v>470.5403</v>
      </c>
      <c r="F1225" s="37">
        <f t="shared" si="137"/>
        <v>0</v>
      </c>
      <c r="G1225" s="37">
        <f t="shared" si="137"/>
        <v>0</v>
      </c>
      <c r="H1225" s="37">
        <f t="shared" si="137"/>
        <v>0</v>
      </c>
      <c r="I1225" s="37">
        <f t="shared" si="137"/>
        <v>0</v>
      </c>
      <c r="J1225" s="37">
        <f t="shared" si="137"/>
        <v>470.5403</v>
      </c>
      <c r="K1225" s="37">
        <f t="shared" si="137"/>
        <v>0</v>
      </c>
    </row>
    <row r="1226" spans="1:12" x14ac:dyDescent="0.2">
      <c r="A1226" s="15">
        <v>1220</v>
      </c>
      <c r="B1226" s="11">
        <f t="shared" si="137"/>
        <v>170115</v>
      </c>
      <c r="C1226" s="11" t="str">
        <f t="shared" si="137"/>
        <v>Obras de edificación</v>
      </c>
      <c r="D1226" s="37">
        <f t="shared" si="137"/>
        <v>3708.1499399999998</v>
      </c>
      <c r="E1226" s="37">
        <f t="shared" si="137"/>
        <v>3708.1499399999998</v>
      </c>
      <c r="F1226" s="37">
        <f t="shared" si="137"/>
        <v>0</v>
      </c>
      <c r="G1226" s="37">
        <f t="shared" si="137"/>
        <v>0</v>
      </c>
      <c r="H1226" s="37">
        <f t="shared" si="137"/>
        <v>0</v>
      </c>
      <c r="I1226" s="37">
        <f t="shared" si="137"/>
        <v>0</v>
      </c>
      <c r="J1226" s="37">
        <f t="shared" si="137"/>
        <v>3708.1499399999998</v>
      </c>
      <c r="K1226" s="37">
        <f t="shared" si="137"/>
        <v>0</v>
      </c>
    </row>
    <row r="1227" spans="1:12" x14ac:dyDescent="0.2">
      <c r="A1227" s="15">
        <v>1221</v>
      </c>
      <c r="B1227" s="11">
        <f>+B555</f>
        <v>1901</v>
      </c>
      <c r="C1227" s="11" t="str">
        <f>+C555</f>
        <v>Inversiones en acciones y participaciones</v>
      </c>
      <c r="D1227" s="37">
        <f t="shared" ref="D1227:K1227" si="138">+D555</f>
        <v>6754.8012600000002</v>
      </c>
      <c r="E1227" s="37">
        <f t="shared" si="138"/>
        <v>6754.8012600000002</v>
      </c>
      <c r="F1227" s="37">
        <f t="shared" si="138"/>
        <v>0</v>
      </c>
      <c r="G1227" s="37">
        <f t="shared" si="138"/>
        <v>2249.15607</v>
      </c>
      <c r="H1227" s="37">
        <f t="shared" si="138"/>
        <v>455060.44397999998</v>
      </c>
      <c r="I1227" s="37">
        <f t="shared" si="138"/>
        <v>457309.60005000001</v>
      </c>
      <c r="J1227" s="37">
        <f t="shared" si="138"/>
        <v>464064.40130999999</v>
      </c>
      <c r="K1227" s="37">
        <f t="shared" si="138"/>
        <v>0</v>
      </c>
    </row>
    <row r="1228" spans="1:12" x14ac:dyDescent="0.2">
      <c r="A1228" s="15">
        <v>1222</v>
      </c>
      <c r="B1228" s="11">
        <f t="shared" ref="B1228:K1231" si="139">+B562</f>
        <v>190205</v>
      </c>
      <c r="C1228" s="11" t="str">
        <f t="shared" si="139"/>
        <v>Inversiones</v>
      </c>
      <c r="D1228" s="37">
        <f t="shared" si="139"/>
        <v>0</v>
      </c>
      <c r="E1228" s="37">
        <f t="shared" si="139"/>
        <v>0</v>
      </c>
      <c r="F1228" s="37">
        <f t="shared" si="139"/>
        <v>0</v>
      </c>
      <c r="G1228" s="37">
        <f t="shared" si="139"/>
        <v>0</v>
      </c>
      <c r="H1228" s="37">
        <f t="shared" si="139"/>
        <v>29450.935409999998</v>
      </c>
      <c r="I1228" s="37">
        <f t="shared" si="139"/>
        <v>29450.935409999998</v>
      </c>
      <c r="J1228" s="37">
        <f t="shared" si="139"/>
        <v>29450.935409999998</v>
      </c>
      <c r="K1228" s="37">
        <f t="shared" si="139"/>
        <v>0</v>
      </c>
    </row>
    <row r="1229" spans="1:12" x14ac:dyDescent="0.2">
      <c r="A1229" s="15">
        <v>1223</v>
      </c>
      <c r="B1229" s="11">
        <f t="shared" si="139"/>
        <v>190210</v>
      </c>
      <c r="C1229" s="11" t="str">
        <f t="shared" si="139"/>
        <v>Cartera de créditos por vencer</v>
      </c>
      <c r="D1229" s="37">
        <f t="shared" si="139"/>
        <v>0</v>
      </c>
      <c r="E1229" s="37">
        <f t="shared" si="139"/>
        <v>0</v>
      </c>
      <c r="F1229" s="37">
        <f t="shared" si="139"/>
        <v>0</v>
      </c>
      <c r="G1229" s="37">
        <f t="shared" si="139"/>
        <v>0</v>
      </c>
      <c r="H1229" s="37">
        <f t="shared" si="139"/>
        <v>0</v>
      </c>
      <c r="I1229" s="37">
        <f t="shared" si="139"/>
        <v>0</v>
      </c>
      <c r="J1229" s="37">
        <f t="shared" si="139"/>
        <v>0</v>
      </c>
      <c r="K1229" s="37">
        <f t="shared" si="139"/>
        <v>0</v>
      </c>
    </row>
    <row r="1230" spans="1:12" x14ac:dyDescent="0.2">
      <c r="A1230" s="15">
        <v>1224</v>
      </c>
      <c r="B1230" s="11">
        <f t="shared" si="139"/>
        <v>190215</v>
      </c>
      <c r="C1230" s="11" t="str">
        <f t="shared" si="139"/>
        <v>Cartera de créditos refinanciada por vencer</v>
      </c>
      <c r="D1230" s="37">
        <f t="shared" si="139"/>
        <v>0</v>
      </c>
      <c r="E1230" s="37">
        <f t="shared" si="139"/>
        <v>0</v>
      </c>
      <c r="F1230" s="37">
        <f t="shared" si="139"/>
        <v>0</v>
      </c>
      <c r="G1230" s="37">
        <f t="shared" si="139"/>
        <v>0</v>
      </c>
      <c r="H1230" s="37">
        <f t="shared" si="139"/>
        <v>0</v>
      </c>
      <c r="I1230" s="37">
        <f t="shared" si="139"/>
        <v>0</v>
      </c>
      <c r="J1230" s="37">
        <f t="shared" si="139"/>
        <v>0</v>
      </c>
      <c r="K1230" s="37">
        <f t="shared" si="139"/>
        <v>0</v>
      </c>
    </row>
    <row r="1231" spans="1:12" x14ac:dyDescent="0.2">
      <c r="A1231" s="15">
        <v>1225</v>
      </c>
      <c r="B1231" s="11">
        <f t="shared" si="139"/>
        <v>190220</v>
      </c>
      <c r="C1231" s="11" t="str">
        <f t="shared" si="139"/>
        <v>Cartera de créditos reestructurada por vencer</v>
      </c>
      <c r="D1231" s="37">
        <f t="shared" si="139"/>
        <v>0</v>
      </c>
      <c r="E1231" s="37">
        <f t="shared" si="139"/>
        <v>0</v>
      </c>
      <c r="F1231" s="37">
        <f t="shared" si="139"/>
        <v>0</v>
      </c>
      <c r="G1231" s="37">
        <f t="shared" si="139"/>
        <v>0</v>
      </c>
      <c r="H1231" s="37">
        <f t="shared" si="139"/>
        <v>0</v>
      </c>
      <c r="I1231" s="37">
        <f t="shared" si="139"/>
        <v>0</v>
      </c>
      <c r="J1231" s="37">
        <f t="shared" si="139"/>
        <v>0</v>
      </c>
      <c r="K1231" s="37">
        <f t="shared" si="139"/>
        <v>0</v>
      </c>
    </row>
    <row r="1232" spans="1:12" x14ac:dyDescent="0.2">
      <c r="A1232" s="15">
        <v>1226</v>
      </c>
      <c r="B1232" s="11">
        <f>+B572</f>
        <v>190240</v>
      </c>
      <c r="C1232" s="11" t="str">
        <f>+C572</f>
        <v>Deudores por aceptación</v>
      </c>
      <c r="D1232" s="37">
        <f t="shared" ref="D1232:K1232" si="140">+D572</f>
        <v>0</v>
      </c>
      <c r="E1232" s="37">
        <f t="shared" si="140"/>
        <v>0</v>
      </c>
      <c r="F1232" s="37">
        <f t="shared" si="140"/>
        <v>0</v>
      </c>
      <c r="G1232" s="37">
        <f t="shared" si="140"/>
        <v>0</v>
      </c>
      <c r="H1232" s="37">
        <f t="shared" si="140"/>
        <v>0</v>
      </c>
      <c r="I1232" s="37">
        <f t="shared" si="140"/>
        <v>0</v>
      </c>
      <c r="J1232" s="37">
        <f t="shared" si="140"/>
        <v>0</v>
      </c>
      <c r="K1232" s="37">
        <f t="shared" si="140"/>
        <v>0</v>
      </c>
    </row>
    <row r="1233" spans="1:12" x14ac:dyDescent="0.2">
      <c r="A1233" s="15">
        <v>1227</v>
      </c>
      <c r="B1233" s="11">
        <f>+B574</f>
        <v>190250</v>
      </c>
      <c r="C1233" s="11" t="str">
        <f>+C574</f>
        <v>Bienes realizables</v>
      </c>
      <c r="D1233" s="37">
        <f t="shared" ref="D1233:K1233" si="141">+D574</f>
        <v>584.57302000000004</v>
      </c>
      <c r="E1233" s="37">
        <f t="shared" si="141"/>
        <v>584.57302000000004</v>
      </c>
      <c r="F1233" s="37">
        <f t="shared" si="141"/>
        <v>0</v>
      </c>
      <c r="G1233" s="37">
        <f t="shared" si="141"/>
        <v>0</v>
      </c>
      <c r="H1233" s="37">
        <f t="shared" si="141"/>
        <v>0</v>
      </c>
      <c r="I1233" s="37">
        <f t="shared" si="141"/>
        <v>0</v>
      </c>
      <c r="J1233" s="37">
        <f t="shared" si="141"/>
        <v>584.57302000000004</v>
      </c>
      <c r="K1233" s="37">
        <f t="shared" si="141"/>
        <v>0</v>
      </c>
    </row>
    <row r="1234" spans="1:12" x14ac:dyDescent="0.2">
      <c r="A1234" s="15">
        <v>1228</v>
      </c>
      <c r="B1234" s="11">
        <f t="shared" ref="B1234:K1236" si="142">+B580</f>
        <v>190280</v>
      </c>
      <c r="C1234" s="11" t="str">
        <f t="shared" si="142"/>
        <v>Inversiones en acciones y participaciones</v>
      </c>
      <c r="D1234" s="37">
        <f t="shared" si="142"/>
        <v>0</v>
      </c>
      <c r="E1234" s="37">
        <f t="shared" si="142"/>
        <v>0</v>
      </c>
      <c r="F1234" s="37">
        <f t="shared" si="142"/>
        <v>0</v>
      </c>
      <c r="G1234" s="37">
        <f t="shared" si="142"/>
        <v>0</v>
      </c>
      <c r="H1234" s="37">
        <f t="shared" si="142"/>
        <v>0</v>
      </c>
      <c r="I1234" s="37">
        <f t="shared" si="142"/>
        <v>0</v>
      </c>
      <c r="J1234" s="37">
        <f t="shared" si="142"/>
        <v>0</v>
      </c>
      <c r="K1234" s="37">
        <f t="shared" si="142"/>
        <v>0</v>
      </c>
    </row>
    <row r="1235" spans="1:12" x14ac:dyDescent="0.2">
      <c r="A1235" s="15">
        <v>1229</v>
      </c>
      <c r="B1235" s="11">
        <f t="shared" si="142"/>
        <v>190286</v>
      </c>
      <c r="C1235" s="11" t="str">
        <f t="shared" si="142"/>
        <v>Fondos de liquidez</v>
      </c>
      <c r="D1235" s="37">
        <f t="shared" si="142"/>
        <v>0</v>
      </c>
      <c r="E1235" s="37">
        <f t="shared" si="142"/>
        <v>0</v>
      </c>
      <c r="F1235" s="37">
        <f t="shared" si="142"/>
        <v>0</v>
      </c>
      <c r="G1235" s="37">
        <f t="shared" si="142"/>
        <v>0</v>
      </c>
      <c r="H1235" s="37">
        <f t="shared" si="142"/>
        <v>0</v>
      </c>
      <c r="I1235" s="37">
        <f t="shared" si="142"/>
        <v>0</v>
      </c>
      <c r="J1235" s="37">
        <f t="shared" si="142"/>
        <v>0</v>
      </c>
      <c r="K1235" s="37">
        <f t="shared" si="142"/>
        <v>0</v>
      </c>
    </row>
    <row r="1236" spans="1:12" x14ac:dyDescent="0.2">
      <c r="A1236" s="15">
        <v>1230</v>
      </c>
      <c r="B1236" s="11">
        <f t="shared" si="142"/>
        <v>1903</v>
      </c>
      <c r="C1236" s="11" t="str">
        <f t="shared" si="142"/>
        <v>Otras inversiones en participaciones</v>
      </c>
      <c r="D1236" s="37">
        <f t="shared" si="142"/>
        <v>0</v>
      </c>
      <c r="E1236" s="37">
        <f t="shared" si="142"/>
        <v>0</v>
      </c>
      <c r="F1236" s="37">
        <f t="shared" si="142"/>
        <v>0</v>
      </c>
      <c r="G1236" s="37">
        <f t="shared" si="142"/>
        <v>0</v>
      </c>
      <c r="H1236" s="37">
        <f t="shared" si="142"/>
        <v>0</v>
      </c>
      <c r="I1236" s="37">
        <f t="shared" si="142"/>
        <v>0</v>
      </c>
      <c r="J1236" s="37">
        <f t="shared" si="142"/>
        <v>0</v>
      </c>
      <c r="K1236" s="37">
        <f t="shared" si="142"/>
        <v>0</v>
      </c>
    </row>
    <row r="1237" spans="1:12" ht="15" x14ac:dyDescent="0.25">
      <c r="A1237" s="15">
        <v>1231</v>
      </c>
      <c r="C1237" s="36" t="s">
        <v>631</v>
      </c>
      <c r="D1237" s="41">
        <f>SUM(D1219:D1236)</f>
        <v>218376.61758000002</v>
      </c>
      <c r="E1237" s="41">
        <f t="shared" ref="E1237:K1237" si="143">SUM(E1219:E1236)</f>
        <v>218376.61758000002</v>
      </c>
      <c r="F1237" s="41">
        <f t="shared" si="143"/>
        <v>1302239.1304200001</v>
      </c>
      <c r="G1237" s="41">
        <f t="shared" si="143"/>
        <v>1104653.2405699999</v>
      </c>
      <c r="H1237" s="41">
        <f t="shared" si="143"/>
        <v>2064361.50832</v>
      </c>
      <c r="I1237" s="41">
        <f t="shared" si="143"/>
        <v>4471253.8793100007</v>
      </c>
      <c r="J1237" s="41">
        <f t="shared" si="143"/>
        <v>4689630.496890001</v>
      </c>
      <c r="K1237" s="41">
        <f t="shared" si="143"/>
        <v>379870.25471000001</v>
      </c>
    </row>
    <row r="1238" spans="1:12" x14ac:dyDescent="0.2">
      <c r="A1238" s="15">
        <v>1232</v>
      </c>
      <c r="D1238" s="37"/>
      <c r="E1238" s="37"/>
      <c r="F1238" s="37"/>
      <c r="G1238" s="37"/>
      <c r="H1238" s="37"/>
      <c r="I1238" s="37"/>
      <c r="J1238" s="37"/>
      <c r="K1238" s="37"/>
    </row>
    <row r="1239" spans="1:12" x14ac:dyDescent="0.2">
      <c r="A1239" s="15">
        <v>1321</v>
      </c>
      <c r="D1239" s="37"/>
      <c r="E1239" s="37"/>
      <c r="F1239" s="37"/>
      <c r="G1239" s="37"/>
      <c r="H1239" s="37"/>
      <c r="I1239" s="37"/>
      <c r="J1239" s="37"/>
      <c r="K1239" s="37"/>
    </row>
    <row r="1240" spans="1:12" x14ac:dyDescent="0.2">
      <c r="A1240" s="15">
        <v>1322</v>
      </c>
      <c r="C1240" s="11" t="s">
        <v>632</v>
      </c>
      <c r="D1240" s="37"/>
      <c r="E1240" s="37"/>
      <c r="F1240" s="37"/>
      <c r="G1240" s="37"/>
      <c r="H1240" s="37"/>
      <c r="I1240" s="37"/>
      <c r="J1240" s="37"/>
      <c r="K1240" s="37"/>
    </row>
    <row r="1241" spans="1:12" x14ac:dyDescent="0.2">
      <c r="A1241" s="15">
        <v>1323</v>
      </c>
      <c r="B1241" s="11">
        <f>+B9</f>
        <v>11</v>
      </c>
      <c r="C1241" s="11" t="str">
        <f>+C9</f>
        <v>FONDOS DISPONIBLES</v>
      </c>
      <c r="D1241" s="37">
        <f>+D9</f>
        <v>20338.50459</v>
      </c>
      <c r="E1241" s="37">
        <f>+E9</f>
        <v>20338.50459</v>
      </c>
      <c r="F1241" s="37">
        <f>+F9</f>
        <v>174734.24729999999</v>
      </c>
      <c r="G1241" s="37">
        <f>+G9</f>
        <v>131056.78765</v>
      </c>
      <c r="H1241" s="37">
        <f>+H9</f>
        <v>28493.401320000001</v>
      </c>
      <c r="I1241" s="37">
        <f>+I9</f>
        <v>334284.43627000001</v>
      </c>
      <c r="J1241" s="37">
        <f>+J9</f>
        <v>354622.94086000003</v>
      </c>
      <c r="K1241" s="37">
        <f>+K9</f>
        <v>122183.12802</v>
      </c>
    </row>
    <row r="1242" spans="1:12" x14ac:dyDescent="0.2">
      <c r="A1242" s="15">
        <v>1324</v>
      </c>
      <c r="B1242" s="11">
        <f>+B26</f>
        <v>1201</v>
      </c>
      <c r="C1242" s="11" t="str">
        <f>+C26</f>
        <v>Fondos interbancarios vendidos</v>
      </c>
      <c r="D1242" s="37">
        <f>+D26</f>
        <v>0</v>
      </c>
      <c r="E1242" s="37">
        <f>+E26</f>
        <v>0</v>
      </c>
      <c r="F1242" s="37">
        <f>+F26</f>
        <v>0</v>
      </c>
      <c r="G1242" s="37">
        <f>+G26</f>
        <v>0</v>
      </c>
      <c r="H1242" s="37">
        <f>+H26</f>
        <v>0</v>
      </c>
      <c r="I1242" s="37">
        <f>+I26</f>
        <v>0</v>
      </c>
      <c r="J1242" s="37">
        <f>+J26</f>
        <v>0</v>
      </c>
      <c r="K1242" s="37">
        <f>+K26</f>
        <v>0</v>
      </c>
    </row>
    <row r="1243" spans="1:12" x14ac:dyDescent="0.2">
      <c r="A1243" s="15">
        <v>1325</v>
      </c>
      <c r="B1243" s="11">
        <f>-B651</f>
        <v>-2201</v>
      </c>
      <c r="C1243" s="11" t="str">
        <f>C651</f>
        <v>Fondos interbancarios comprados</v>
      </c>
      <c r="D1243" s="37">
        <f>-D651</f>
        <v>0</v>
      </c>
      <c r="E1243" s="37">
        <f>-E651</f>
        <v>0</v>
      </c>
      <c r="F1243" s="37">
        <f>-F651</f>
        <v>0</v>
      </c>
      <c r="G1243" s="37">
        <f>-G651</f>
        <v>0</v>
      </c>
      <c r="H1243" s="37">
        <f>-H651</f>
        <v>0</v>
      </c>
      <c r="I1243" s="37">
        <f>-I651</f>
        <v>0</v>
      </c>
      <c r="J1243" s="37">
        <f>-J651</f>
        <v>0</v>
      </c>
      <c r="K1243" s="37">
        <f>-K651</f>
        <v>0</v>
      </c>
    </row>
    <row r="1244" spans="1:12" x14ac:dyDescent="0.2">
      <c r="A1244" s="15">
        <v>1326</v>
      </c>
      <c r="B1244" s="11">
        <f>+B29</f>
        <v>1202</v>
      </c>
      <c r="C1244" s="11" t="str">
        <f>+C29</f>
        <v>Operaciones de reporto con instituciones financieras</v>
      </c>
      <c r="D1244" s="37">
        <f>+D29</f>
        <v>0</v>
      </c>
      <c r="E1244" s="37">
        <f>+E29</f>
        <v>0</v>
      </c>
      <c r="F1244" s="37">
        <f>+F29</f>
        <v>0</v>
      </c>
      <c r="G1244" s="37">
        <f>+G29</f>
        <v>0</v>
      </c>
      <c r="H1244" s="37">
        <f>+H29</f>
        <v>0</v>
      </c>
      <c r="I1244" s="37">
        <f>+I29</f>
        <v>0</v>
      </c>
      <c r="J1244" s="37">
        <f>+J29</f>
        <v>0</v>
      </c>
      <c r="K1244" s="37">
        <f>+K29</f>
        <v>0</v>
      </c>
    </row>
    <row r="1245" spans="1:12" x14ac:dyDescent="0.2">
      <c r="A1245" s="15">
        <v>1327</v>
      </c>
      <c r="B1245" s="11">
        <f>+B78</f>
        <v>130705</v>
      </c>
      <c r="C1245" s="11" t="str">
        <f>+C78</f>
        <v>Entregadas para operaciones de reporto</v>
      </c>
      <c r="D1245" s="37">
        <f>+D78</f>
        <v>0</v>
      </c>
      <c r="E1245" s="37">
        <f>+E78</f>
        <v>0</v>
      </c>
      <c r="F1245" s="37">
        <f>+F78</f>
        <v>0</v>
      </c>
      <c r="G1245" s="37">
        <f>+G78</f>
        <v>0</v>
      </c>
      <c r="H1245" s="37">
        <f>+H78</f>
        <v>655</v>
      </c>
      <c r="I1245" s="37">
        <f>+I78</f>
        <v>655</v>
      </c>
      <c r="J1245" s="37">
        <f>+J78</f>
        <v>655</v>
      </c>
      <c r="K1245" s="37">
        <f>+K78</f>
        <v>0</v>
      </c>
    </row>
    <row r="1246" spans="1:12" s="36" customFormat="1" ht="15" x14ac:dyDescent="0.25">
      <c r="A1246" s="45">
        <v>1328</v>
      </c>
      <c r="B1246" s="11">
        <f>-B637</f>
        <v>-2102</v>
      </c>
      <c r="C1246" s="11" t="str">
        <f>C637</f>
        <v>Operaciones de reporto</v>
      </c>
      <c r="D1246" s="37">
        <f>-D637</f>
        <v>0</v>
      </c>
      <c r="E1246" s="37">
        <f>-E637</f>
        <v>0</v>
      </c>
      <c r="F1246" s="37">
        <f>-F637</f>
        <v>0</v>
      </c>
      <c r="G1246" s="37">
        <f>-G637</f>
        <v>0</v>
      </c>
      <c r="H1246" s="37">
        <f>-H637</f>
        <v>0</v>
      </c>
      <c r="I1246" s="37">
        <f>-I637</f>
        <v>0</v>
      </c>
      <c r="J1246" s="37">
        <f>-J637</f>
        <v>0</v>
      </c>
      <c r="K1246" s="37">
        <f>-K637</f>
        <v>0</v>
      </c>
      <c r="L1246" s="11"/>
    </row>
    <row r="1247" spans="1:12" x14ac:dyDescent="0.2">
      <c r="A1247" s="15">
        <v>1329</v>
      </c>
      <c r="B1247" s="11">
        <f>-B654</f>
        <v>-2202</v>
      </c>
      <c r="C1247" s="11" t="str">
        <f>C654</f>
        <v>Operaciones de reporto con instituciones financieras</v>
      </c>
      <c r="D1247" s="37">
        <f>-D654</f>
        <v>0</v>
      </c>
      <c r="E1247" s="37">
        <f>-E654</f>
        <v>0</v>
      </c>
      <c r="F1247" s="37">
        <f>-F654</f>
        <v>0</v>
      </c>
      <c r="G1247" s="37">
        <f>-G654</f>
        <v>0</v>
      </c>
      <c r="H1247" s="37">
        <f>-H654</f>
        <v>-655</v>
      </c>
      <c r="I1247" s="37">
        <f>-I654</f>
        <v>-655</v>
      </c>
      <c r="J1247" s="37">
        <f>-J654</f>
        <v>-655</v>
      </c>
      <c r="K1247" s="37">
        <f>-K654</f>
        <v>0</v>
      </c>
    </row>
    <row r="1248" spans="1:12" x14ac:dyDescent="0.2">
      <c r="A1248" s="15">
        <v>1330</v>
      </c>
      <c r="B1248" s="11">
        <f>+B36</f>
        <v>130105</v>
      </c>
      <c r="C1248" s="11" t="str">
        <f>+C36</f>
        <v>De 1 a 30 días</v>
      </c>
      <c r="D1248" s="37">
        <f>+D36</f>
        <v>0</v>
      </c>
      <c r="E1248" s="37">
        <f>+E36</f>
        <v>0</v>
      </c>
      <c r="F1248" s="37">
        <f>+F36</f>
        <v>0</v>
      </c>
      <c r="G1248" s="37">
        <f>+G36</f>
        <v>0</v>
      </c>
      <c r="H1248" s="37">
        <f>+H36</f>
        <v>0</v>
      </c>
      <c r="I1248" s="37">
        <f>+I36</f>
        <v>0</v>
      </c>
      <c r="J1248" s="37">
        <f>+J36</f>
        <v>0</v>
      </c>
      <c r="K1248" s="37">
        <f>+K36</f>
        <v>0</v>
      </c>
    </row>
    <row r="1249" spans="1:11" x14ac:dyDescent="0.2">
      <c r="A1249" s="15">
        <v>1331</v>
      </c>
      <c r="B1249" s="11">
        <f>+B37</f>
        <v>130110</v>
      </c>
      <c r="C1249" s="11" t="str">
        <f>+C37</f>
        <v>De 31 a 90 días</v>
      </c>
      <c r="D1249" s="37">
        <f>+D37</f>
        <v>0</v>
      </c>
      <c r="E1249" s="37">
        <f>+E37</f>
        <v>0</v>
      </c>
      <c r="F1249" s="37">
        <f>+F37</f>
        <v>0</v>
      </c>
      <c r="G1249" s="37">
        <f>+G37</f>
        <v>0</v>
      </c>
      <c r="H1249" s="37">
        <f>+H37</f>
        <v>0</v>
      </c>
      <c r="I1249" s="37">
        <f>+I37</f>
        <v>0</v>
      </c>
      <c r="J1249" s="37">
        <f>+J37</f>
        <v>0</v>
      </c>
      <c r="K1249" s="37">
        <f>+K37</f>
        <v>0</v>
      </c>
    </row>
    <row r="1250" spans="1:11" x14ac:dyDescent="0.2">
      <c r="A1250" s="15">
        <v>1332</v>
      </c>
      <c r="B1250" s="11">
        <f>+B41</f>
        <v>1302</v>
      </c>
      <c r="C1250" s="11" t="str">
        <f>+C41</f>
        <v>Avalor razonable con cambios en el estado de resultados del Estado o de entidades del sector público</v>
      </c>
      <c r="D1250" s="37">
        <f>+D41</f>
        <v>0</v>
      </c>
      <c r="E1250" s="37">
        <f>+E41</f>
        <v>0</v>
      </c>
      <c r="F1250" s="37">
        <f>+F41</f>
        <v>0</v>
      </c>
      <c r="G1250" s="37">
        <f>+G41</f>
        <v>0</v>
      </c>
      <c r="H1250" s="37">
        <f>+H41</f>
        <v>0</v>
      </c>
      <c r="I1250" s="37">
        <f>+I41</f>
        <v>0</v>
      </c>
      <c r="J1250" s="37">
        <f>+J41</f>
        <v>0</v>
      </c>
      <c r="K1250" s="37">
        <f>+K41</f>
        <v>0</v>
      </c>
    </row>
    <row r="1251" spans="1:11" x14ac:dyDescent="0.2">
      <c r="A1251" s="15">
        <v>1333</v>
      </c>
      <c r="B1251" s="11">
        <f>+B36</f>
        <v>130105</v>
      </c>
      <c r="C1251" s="11" t="str">
        <f>+C36</f>
        <v>De 1 a 30 días</v>
      </c>
      <c r="D1251" s="37">
        <f>+D36</f>
        <v>0</v>
      </c>
      <c r="E1251" s="37">
        <f>+E36</f>
        <v>0</v>
      </c>
      <c r="F1251" s="37">
        <f>+F36</f>
        <v>0</v>
      </c>
      <c r="G1251" s="37">
        <f>+G36</f>
        <v>0</v>
      </c>
      <c r="H1251" s="37">
        <f>+H36</f>
        <v>0</v>
      </c>
      <c r="I1251" s="37">
        <f>+I36</f>
        <v>0</v>
      </c>
      <c r="J1251" s="37">
        <f>+J36</f>
        <v>0</v>
      </c>
      <c r="K1251" s="37">
        <f>+K36</f>
        <v>0</v>
      </c>
    </row>
    <row r="1252" spans="1:11" x14ac:dyDescent="0.2">
      <c r="A1252" s="15">
        <v>1334</v>
      </c>
      <c r="B1252" s="11">
        <f>+B49</f>
        <v>130310</v>
      </c>
      <c r="C1252" s="11" t="str">
        <f>+C49</f>
        <v>De 31 a 90 días</v>
      </c>
      <c r="D1252" s="37">
        <f>+D49</f>
        <v>2436.8458300000002</v>
      </c>
      <c r="E1252" s="37">
        <f>+E49</f>
        <v>2436.8458300000002</v>
      </c>
      <c r="F1252" s="37">
        <f>+F49</f>
        <v>0</v>
      </c>
      <c r="G1252" s="37">
        <f>+G49</f>
        <v>22047.543949999999</v>
      </c>
      <c r="H1252" s="37">
        <f>+H49</f>
        <v>44573.063569999998</v>
      </c>
      <c r="I1252" s="37">
        <f>+I49</f>
        <v>66620.60751999999</v>
      </c>
      <c r="J1252" s="37">
        <f>+J49</f>
        <v>69057.453349999996</v>
      </c>
      <c r="K1252" s="37">
        <f>+K49</f>
        <v>0</v>
      </c>
    </row>
    <row r="1253" spans="1:11" x14ac:dyDescent="0.2">
      <c r="A1253" s="15">
        <v>1335</v>
      </c>
      <c r="B1253" s="11">
        <f>+B53</f>
        <v>1304</v>
      </c>
      <c r="C1253" s="11" t="str">
        <f>+C53</f>
        <v>Disponibles para la venta del Estado o de entidades del sector público</v>
      </c>
      <c r="D1253" s="37">
        <f>+D53</f>
        <v>4504.2066100000002</v>
      </c>
      <c r="E1253" s="37">
        <f>+E53</f>
        <v>4504.2066100000002</v>
      </c>
      <c r="F1253" s="37">
        <f>+F53</f>
        <v>54922.675199999998</v>
      </c>
      <c r="G1253" s="37">
        <f>+G53</f>
        <v>214249.68096</v>
      </c>
      <c r="H1253" s="37">
        <f>+H53</f>
        <v>151308.98392</v>
      </c>
      <c r="I1253" s="37">
        <f>+I53</f>
        <v>420481.34007999999</v>
      </c>
      <c r="J1253" s="37">
        <f>+J53</f>
        <v>424985.54668999999</v>
      </c>
      <c r="K1253" s="37">
        <f>+K53</f>
        <v>0</v>
      </c>
    </row>
    <row r="1254" spans="1:11" x14ac:dyDescent="0.2">
      <c r="A1254" s="15">
        <v>1336</v>
      </c>
      <c r="B1254" s="11">
        <f>+B69</f>
        <v>130605</v>
      </c>
      <c r="C1254" s="11" t="str">
        <f>+C69</f>
        <v>De 1 a 30 días</v>
      </c>
      <c r="D1254" s="37">
        <f>+D69</f>
        <v>0</v>
      </c>
      <c r="E1254" s="37">
        <f>+E69</f>
        <v>0</v>
      </c>
      <c r="F1254" s="37">
        <f>+F69</f>
        <v>0</v>
      </c>
      <c r="G1254" s="37">
        <f>+G69</f>
        <v>0</v>
      </c>
      <c r="H1254" s="37">
        <f>+H69</f>
        <v>0</v>
      </c>
      <c r="I1254" s="37">
        <f>+I69</f>
        <v>0</v>
      </c>
      <c r="J1254" s="37">
        <f>+J69</f>
        <v>0</v>
      </c>
      <c r="K1254" s="37">
        <f>+K69</f>
        <v>0</v>
      </c>
    </row>
    <row r="1255" spans="1:11" x14ac:dyDescent="0.2">
      <c r="A1255" s="15">
        <v>1337</v>
      </c>
      <c r="B1255" s="11">
        <f>+B70</f>
        <v>130610</v>
      </c>
      <c r="C1255" s="11" t="str">
        <f>+C70</f>
        <v>De 31 a 90 días</v>
      </c>
      <c r="D1255" s="37">
        <f>+D70</f>
        <v>0</v>
      </c>
      <c r="E1255" s="37">
        <f>+E70</f>
        <v>0</v>
      </c>
      <c r="F1255" s="37">
        <f>+F70</f>
        <v>0</v>
      </c>
      <c r="G1255" s="37">
        <f>+G70</f>
        <v>0</v>
      </c>
      <c r="H1255" s="37">
        <f>+H70</f>
        <v>0</v>
      </c>
      <c r="I1255" s="37">
        <f>+I70</f>
        <v>0</v>
      </c>
      <c r="J1255" s="37">
        <f>+J70</f>
        <v>0</v>
      </c>
      <c r="K1255" s="37">
        <f>+K70</f>
        <v>0</v>
      </c>
    </row>
    <row r="1256" spans="1:11" x14ac:dyDescent="0.2">
      <c r="A1256" s="15">
        <v>1338</v>
      </c>
      <c r="B1256" s="11">
        <f>+B71</f>
        <v>130615</v>
      </c>
      <c r="C1256" s="11" t="str">
        <f>+C71</f>
        <v>De 91 a 180 días</v>
      </c>
      <c r="D1256" s="37">
        <f>+D71</f>
        <v>0</v>
      </c>
      <c r="E1256" s="37">
        <f>+E71</f>
        <v>0</v>
      </c>
      <c r="F1256" s="37">
        <f>+F71</f>
        <v>0</v>
      </c>
      <c r="G1256" s="37">
        <f>+G71</f>
        <v>0</v>
      </c>
      <c r="H1256" s="37">
        <f>+H71</f>
        <v>0</v>
      </c>
      <c r="I1256" s="37">
        <f>+I71</f>
        <v>0</v>
      </c>
      <c r="J1256" s="37">
        <f>+J71</f>
        <v>0</v>
      </c>
      <c r="K1256" s="37">
        <f>+K71</f>
        <v>0</v>
      </c>
    </row>
    <row r="1257" spans="1:11" x14ac:dyDescent="0.2">
      <c r="A1257" s="15">
        <v>1339</v>
      </c>
      <c r="B1257" s="11">
        <f>+B81</f>
        <v>130720</v>
      </c>
      <c r="C1257" s="11" t="str">
        <f>+C81</f>
        <v>Entregados en garantía</v>
      </c>
      <c r="D1257" s="37">
        <f>+D81</f>
        <v>0</v>
      </c>
      <c r="E1257" s="37">
        <f>+E81</f>
        <v>0</v>
      </c>
      <c r="F1257" s="37">
        <f>+F81</f>
        <v>0</v>
      </c>
      <c r="G1257" s="37">
        <f>+G81</f>
        <v>0</v>
      </c>
      <c r="H1257" s="37">
        <f>+H81</f>
        <v>0</v>
      </c>
      <c r="I1257" s="37">
        <f>+I81</f>
        <v>0</v>
      </c>
      <c r="J1257" s="37">
        <f>+J81</f>
        <v>0</v>
      </c>
      <c r="K1257" s="37">
        <f>+K81</f>
        <v>0</v>
      </c>
    </row>
    <row r="1258" spans="1:11" ht="15" x14ac:dyDescent="0.25">
      <c r="A1258" s="15">
        <v>1340</v>
      </c>
      <c r="B1258" s="36" t="s">
        <v>597</v>
      </c>
      <c r="C1258" s="36" t="s">
        <v>633</v>
      </c>
      <c r="D1258" s="37">
        <f>SUM(D1241:D1257)</f>
        <v>27279.557030000004</v>
      </c>
      <c r="E1258" s="37">
        <f t="shared" ref="E1258:K1258" si="144">SUM(E1241:E1257)</f>
        <v>27279.557030000004</v>
      </c>
      <c r="F1258" s="37">
        <f t="shared" si="144"/>
        <v>229656.92249999999</v>
      </c>
      <c r="G1258" s="37">
        <f t="shared" si="144"/>
        <v>367354.01256</v>
      </c>
      <c r="H1258" s="37">
        <f t="shared" si="144"/>
        <v>224375.44881</v>
      </c>
      <c r="I1258" s="37">
        <f t="shared" si="144"/>
        <v>821386.38387000002</v>
      </c>
      <c r="J1258" s="37">
        <f t="shared" si="144"/>
        <v>848665.94090000005</v>
      </c>
      <c r="K1258" s="37">
        <f t="shared" si="144"/>
        <v>122183.12802</v>
      </c>
    </row>
    <row r="1259" spans="1:11" x14ac:dyDescent="0.2">
      <c r="A1259" s="15">
        <v>1341</v>
      </c>
      <c r="D1259" s="37"/>
      <c r="E1259" s="37"/>
      <c r="F1259" s="37"/>
      <c r="G1259" s="37"/>
      <c r="H1259" s="37"/>
      <c r="I1259" s="37"/>
      <c r="J1259" s="37"/>
      <c r="K1259" s="37"/>
    </row>
    <row r="1260" spans="1:11" x14ac:dyDescent="0.2">
      <c r="A1260" s="15">
        <v>1342</v>
      </c>
      <c r="B1260" s="11">
        <f>+B625</f>
        <v>2101</v>
      </c>
      <c r="C1260" s="11" t="str">
        <f>+C625</f>
        <v>Depósitos a la vista</v>
      </c>
      <c r="D1260" s="37">
        <f>+D625</f>
        <v>20782.49872</v>
      </c>
      <c r="E1260" s="37">
        <f>+E625</f>
        <v>20782.49872</v>
      </c>
      <c r="F1260" s="37">
        <f>+F625</f>
        <v>0</v>
      </c>
      <c r="G1260" s="37">
        <f>+G625</f>
        <v>692955.14200999995</v>
      </c>
      <c r="H1260" s="37">
        <f>+H625</f>
        <v>0</v>
      </c>
      <c r="I1260" s="37">
        <f>+I625</f>
        <v>692955.14200999995</v>
      </c>
      <c r="J1260" s="37">
        <f>+J625</f>
        <v>713737.64072999998</v>
      </c>
      <c r="K1260" s="37">
        <f>+K625</f>
        <v>0</v>
      </c>
    </row>
    <row r="1261" spans="1:11" x14ac:dyDescent="0.2">
      <c r="A1261" s="15">
        <v>1343</v>
      </c>
      <c r="B1261" s="11">
        <f>+B641</f>
        <v>2103</v>
      </c>
      <c r="C1261" s="11" t="str">
        <f>+C641</f>
        <v>Depósitos a plazo</v>
      </c>
      <c r="D1261" s="37">
        <f>+D641</f>
        <v>112499.99999</v>
      </c>
      <c r="E1261" s="37">
        <f>+E641</f>
        <v>112499.99999</v>
      </c>
      <c r="F1261" s="37">
        <f>+F641</f>
        <v>427092.83601000003</v>
      </c>
      <c r="G1261" s="37">
        <f>+G641</f>
        <v>312474.36018999998</v>
      </c>
      <c r="H1261" s="37">
        <f>+H641</f>
        <v>1181384.28309</v>
      </c>
      <c r="I1261" s="37">
        <f>+I641</f>
        <v>1920951.4792900002</v>
      </c>
      <c r="J1261" s="37">
        <f>+J641</f>
        <v>2033451.4792800001</v>
      </c>
      <c r="K1261" s="37">
        <f>+K641</f>
        <v>0</v>
      </c>
    </row>
    <row r="1262" spans="1:11" x14ac:dyDescent="0.2">
      <c r="A1262" s="15">
        <v>1344</v>
      </c>
      <c r="B1262" s="11">
        <f>+B659</f>
        <v>23</v>
      </c>
      <c r="C1262" s="11" t="str">
        <f>+C659</f>
        <v>OBLIGACIONES INMEDIATAS</v>
      </c>
      <c r="D1262" s="37">
        <f>+D659</f>
        <v>0</v>
      </c>
      <c r="E1262" s="37">
        <f>+E659</f>
        <v>0</v>
      </c>
      <c r="F1262" s="37">
        <f>+F659</f>
        <v>0</v>
      </c>
      <c r="G1262" s="37">
        <f>+G659</f>
        <v>19626.370200000001</v>
      </c>
      <c r="H1262" s="37">
        <f>+H659</f>
        <v>0</v>
      </c>
      <c r="I1262" s="37">
        <f>+I659</f>
        <v>19626.370200000001</v>
      </c>
      <c r="J1262" s="37">
        <f>+J659</f>
        <v>19626.370200000001</v>
      </c>
      <c r="K1262" s="37">
        <f>+K659</f>
        <v>0</v>
      </c>
    </row>
    <row r="1263" spans="1:11" x14ac:dyDescent="0.2">
      <c r="A1263" s="15">
        <v>1345</v>
      </c>
      <c r="B1263" s="11">
        <f>+B669</f>
        <v>24</v>
      </c>
      <c r="C1263" s="11" t="str">
        <f>+C669</f>
        <v>ACEPTACIONES EN CIRCULACION</v>
      </c>
      <c r="D1263" s="37">
        <f>+D669</f>
        <v>0</v>
      </c>
      <c r="E1263" s="37">
        <f>+E669</f>
        <v>0</v>
      </c>
      <c r="F1263" s="37">
        <f>+F669</f>
        <v>0</v>
      </c>
      <c r="G1263" s="37">
        <f>+G669</f>
        <v>0</v>
      </c>
      <c r="H1263" s="37">
        <f>+H669</f>
        <v>0</v>
      </c>
      <c r="I1263" s="37">
        <f>+I669</f>
        <v>0</v>
      </c>
      <c r="J1263" s="37">
        <f>+J669</f>
        <v>0</v>
      </c>
      <c r="K1263" s="37">
        <f>+K669</f>
        <v>0</v>
      </c>
    </row>
    <row r="1264" spans="1:11" x14ac:dyDescent="0.2">
      <c r="A1264" s="15">
        <v>1346</v>
      </c>
      <c r="B1264" s="11">
        <f>+B713</f>
        <v>26</v>
      </c>
      <c r="C1264" s="11" t="str">
        <f>+C713</f>
        <v>OBLIGACIONES FINANCIERAS</v>
      </c>
      <c r="D1264" s="37">
        <f>+D713</f>
        <v>917.75852999999995</v>
      </c>
      <c r="E1264" s="37">
        <f>+E713</f>
        <v>917.75852999999995</v>
      </c>
      <c r="F1264" s="37">
        <f>+F713</f>
        <v>13970.07429</v>
      </c>
      <c r="G1264" s="37">
        <f>+G713</f>
        <v>241.19851</v>
      </c>
      <c r="H1264" s="37">
        <f>+H713</f>
        <v>100048.11142</v>
      </c>
      <c r="I1264" s="37">
        <f>+I713</f>
        <v>114259.38422000001</v>
      </c>
      <c r="J1264" s="37">
        <f>+J713</f>
        <v>115177.14275000001</v>
      </c>
      <c r="K1264" s="37">
        <f>+K713</f>
        <v>0</v>
      </c>
    </row>
    <row r="1265" spans="1:11" x14ac:dyDescent="0.2">
      <c r="A1265" s="15">
        <v>1347</v>
      </c>
      <c r="B1265" s="11">
        <f>+B769</f>
        <v>27</v>
      </c>
      <c r="C1265" s="11" t="str">
        <f>+C769</f>
        <v>VALORES EN CIRCULACION</v>
      </c>
      <c r="D1265" s="37">
        <f>+D769</f>
        <v>0</v>
      </c>
      <c r="E1265" s="37">
        <f>+E769</f>
        <v>0</v>
      </c>
      <c r="F1265" s="37">
        <f>+F769</f>
        <v>0</v>
      </c>
      <c r="G1265" s="37">
        <f>+G769</f>
        <v>0</v>
      </c>
      <c r="H1265" s="37">
        <f>+H769</f>
        <v>0</v>
      </c>
      <c r="I1265" s="37">
        <f>+I769</f>
        <v>0</v>
      </c>
      <c r="J1265" s="37">
        <f>+J769</f>
        <v>0</v>
      </c>
      <c r="K1265" s="37">
        <f>+K769</f>
        <v>0</v>
      </c>
    </row>
    <row r="1266" spans="1:11" x14ac:dyDescent="0.2">
      <c r="A1266" s="15">
        <v>1348</v>
      </c>
      <c r="B1266" s="11">
        <f>+B796</f>
        <v>2903</v>
      </c>
      <c r="C1266" s="11" t="str">
        <f>+C796</f>
        <v>Fondos en administración</v>
      </c>
      <c r="D1266" s="37">
        <f>+D796</f>
        <v>11379.2</v>
      </c>
      <c r="E1266" s="37">
        <f>+E796</f>
        <v>11379.2</v>
      </c>
      <c r="F1266" s="37">
        <f>+F796</f>
        <v>362387.02649999998</v>
      </c>
      <c r="G1266" s="37">
        <f>+G796</f>
        <v>34813.338810000001</v>
      </c>
      <c r="H1266" s="37">
        <f>+H796</f>
        <v>470.88693999999998</v>
      </c>
      <c r="I1266" s="37">
        <f>+I796</f>
        <v>397671.25224999996</v>
      </c>
      <c r="J1266" s="37">
        <f>+J796</f>
        <v>409050.45224999997</v>
      </c>
      <c r="K1266" s="37">
        <f>+K796</f>
        <v>32574.834210000001</v>
      </c>
    </row>
    <row r="1267" spans="1:11" ht="15" x14ac:dyDescent="0.25">
      <c r="A1267" s="15">
        <v>1349</v>
      </c>
      <c r="B1267" s="36" t="s">
        <v>600</v>
      </c>
      <c r="C1267" s="36" t="s">
        <v>634</v>
      </c>
      <c r="D1267" s="41">
        <f>SUM(D1260:D1266)</f>
        <v>145579.45723999999</v>
      </c>
      <c r="E1267" s="41">
        <f t="shared" ref="E1267:K1267" si="145">SUM(E1260:E1266)</f>
        <v>145579.45723999999</v>
      </c>
      <c r="F1267" s="41">
        <f t="shared" si="145"/>
        <v>803449.93680000002</v>
      </c>
      <c r="G1267" s="41">
        <f t="shared" si="145"/>
        <v>1060110.4097200001</v>
      </c>
      <c r="H1267" s="41">
        <f t="shared" si="145"/>
        <v>1281903.2814500001</v>
      </c>
      <c r="I1267" s="41">
        <f t="shared" si="145"/>
        <v>3145463.6279699998</v>
      </c>
      <c r="J1267" s="41">
        <f t="shared" si="145"/>
        <v>3291043.0852100002</v>
      </c>
      <c r="K1267" s="41">
        <f t="shared" si="145"/>
        <v>32574.834210000001</v>
      </c>
    </row>
    <row r="1268" spans="1:11" x14ac:dyDescent="0.2">
      <c r="A1268" s="15">
        <v>1350</v>
      </c>
      <c r="D1268" s="37"/>
      <c r="E1268" s="37"/>
      <c r="F1268" s="37"/>
      <c r="G1268" s="37"/>
      <c r="H1268" s="37"/>
      <c r="I1268" s="37"/>
      <c r="J1268" s="37"/>
      <c r="K1268" s="37"/>
    </row>
    <row r="1269" spans="1:11" ht="15" x14ac:dyDescent="0.25">
      <c r="A1269" s="15">
        <v>1351</v>
      </c>
      <c r="C1269" s="46" t="s">
        <v>635</v>
      </c>
      <c r="D1269" s="47">
        <f>(D1258/D1267)*100</f>
        <v>18.738603335378119</v>
      </c>
      <c r="E1269" s="47">
        <f t="shared" ref="E1269:K1269" si="146">(E1258/E1267)*100</f>
        <v>18.738603335378119</v>
      </c>
      <c r="F1269" s="47">
        <f t="shared" si="146"/>
        <v>28.58384971871218</v>
      </c>
      <c r="G1269" s="47">
        <f t="shared" si="146"/>
        <v>34.652429519773015</v>
      </c>
      <c r="H1269" s="47">
        <f t="shared" si="146"/>
        <v>17.503305596987165</v>
      </c>
      <c r="I1269" s="47">
        <f t="shared" si="146"/>
        <v>26.113364547155847</v>
      </c>
      <c r="J1269" s="47">
        <f t="shared" si="146"/>
        <v>25.787141612150815</v>
      </c>
      <c r="K1269" s="47">
        <f t="shared" si="146"/>
        <v>375.08442017639362</v>
      </c>
    </row>
    <row r="1270" spans="1:11" x14ac:dyDescent="0.2">
      <c r="A1270" s="15">
        <v>1352</v>
      </c>
      <c r="D1270" s="37"/>
      <c r="E1270" s="37"/>
      <c r="F1270" s="37"/>
      <c r="G1270" s="37"/>
      <c r="H1270" s="37"/>
      <c r="I1270" s="37"/>
      <c r="J1270" s="37"/>
      <c r="K1270" s="37"/>
    </row>
    <row r="1271" spans="1:11" x14ac:dyDescent="0.2">
      <c r="A1271" s="15">
        <v>1353</v>
      </c>
      <c r="C1271" s="11" t="s">
        <v>636</v>
      </c>
      <c r="D1271" s="37"/>
      <c r="E1271" s="37"/>
      <c r="F1271" s="37"/>
      <c r="G1271" s="37"/>
      <c r="H1271" s="37"/>
      <c r="I1271" s="37"/>
      <c r="J1271" s="37"/>
      <c r="K1271" s="37"/>
    </row>
    <row r="1272" spans="1:11" x14ac:dyDescent="0.2">
      <c r="A1272" s="15">
        <v>1354</v>
      </c>
      <c r="B1272" s="11">
        <f>+B195</f>
        <v>1425</v>
      </c>
      <c r="C1272" s="11" t="str">
        <f>+C195</f>
        <v>Cartera de créditos comercial que no devenga intereses</v>
      </c>
      <c r="D1272" s="37">
        <f>+D195</f>
        <v>13415.23905</v>
      </c>
      <c r="E1272" s="37">
        <f>+E195</f>
        <v>13415.23905</v>
      </c>
      <c r="F1272" s="37">
        <f>+F195</f>
        <v>0</v>
      </c>
      <c r="G1272" s="37">
        <f>+G195</f>
        <v>60217.763160000002</v>
      </c>
      <c r="H1272" s="37">
        <f>+H195</f>
        <v>23054.251489999999</v>
      </c>
      <c r="I1272" s="37">
        <f>+I195</f>
        <v>83272.014649999997</v>
      </c>
      <c r="J1272" s="37">
        <f>+J195</f>
        <v>96687.253700000001</v>
      </c>
      <c r="K1272" s="37">
        <f>+K195</f>
        <v>0</v>
      </c>
    </row>
    <row r="1273" spans="1:11" x14ac:dyDescent="0.2">
      <c r="A1273" s="15">
        <v>1355</v>
      </c>
      <c r="B1273" s="11">
        <f>+B201</f>
        <v>1426</v>
      </c>
      <c r="C1273" s="11" t="str">
        <f>+C201</f>
        <v>Cartera de créditos de consumo que no devenga intereses</v>
      </c>
      <c r="D1273" s="37">
        <f>+D201</f>
        <v>0</v>
      </c>
      <c r="E1273" s="37">
        <f>+E201</f>
        <v>0</v>
      </c>
      <c r="F1273" s="37">
        <f>+F201</f>
        <v>0</v>
      </c>
      <c r="G1273" s="37">
        <f>+G201</f>
        <v>4106.4009100000003</v>
      </c>
      <c r="H1273" s="37">
        <f>+H201</f>
        <v>0</v>
      </c>
      <c r="I1273" s="37">
        <f>+I201</f>
        <v>4106.4009100000003</v>
      </c>
      <c r="J1273" s="37">
        <f>+J201</f>
        <v>4106.4009100000003</v>
      </c>
      <c r="K1273" s="37">
        <f>+K201</f>
        <v>0</v>
      </c>
    </row>
    <row r="1274" spans="1:11" x14ac:dyDescent="0.2">
      <c r="A1274" s="15">
        <v>1356</v>
      </c>
      <c r="B1274" s="11">
        <f>+B207</f>
        <v>1427</v>
      </c>
      <c r="C1274" s="11" t="str">
        <f>+C207</f>
        <v>Cartera de créditos de vivienda que no devenga intereses</v>
      </c>
      <c r="D1274" s="37">
        <f>+D207</f>
        <v>654.62697000000003</v>
      </c>
      <c r="E1274" s="37">
        <f>+E207</f>
        <v>654.62697000000003</v>
      </c>
      <c r="F1274" s="37">
        <f>+F207</f>
        <v>0</v>
      </c>
      <c r="G1274" s="37">
        <f>+G207</f>
        <v>0</v>
      </c>
      <c r="H1274" s="37">
        <f>+H207</f>
        <v>0</v>
      </c>
      <c r="I1274" s="37">
        <f>+I207</f>
        <v>0</v>
      </c>
      <c r="J1274" s="37">
        <f>+J207</f>
        <v>654.62697000000003</v>
      </c>
      <c r="K1274" s="37">
        <f>+K207</f>
        <v>0</v>
      </c>
    </row>
    <row r="1275" spans="1:11" x14ac:dyDescent="0.2">
      <c r="A1275" s="15">
        <v>1357</v>
      </c>
      <c r="B1275" s="11">
        <f>+B213</f>
        <v>1428</v>
      </c>
      <c r="C1275" s="11" t="str">
        <f>+C213</f>
        <v>Cartera de créditos para la microempresa que no devenga intereses</v>
      </c>
      <c r="D1275" s="37">
        <f>+D213</f>
        <v>0</v>
      </c>
      <c r="E1275" s="37">
        <f>+E213</f>
        <v>0</v>
      </c>
      <c r="F1275" s="37">
        <f>+F213</f>
        <v>0</v>
      </c>
      <c r="G1275" s="37">
        <f>+G213</f>
        <v>12904.500770000001</v>
      </c>
      <c r="H1275" s="37">
        <f>+H213</f>
        <v>4028.91347</v>
      </c>
      <c r="I1275" s="37">
        <f>+I213</f>
        <v>16933.414240000002</v>
      </c>
      <c r="J1275" s="37">
        <f>+J213</f>
        <v>16933.414240000002</v>
      </c>
      <c r="K1275" s="37">
        <f>+K213</f>
        <v>0</v>
      </c>
    </row>
    <row r="1276" spans="1:11" x14ac:dyDescent="0.2">
      <c r="A1276" s="15">
        <v>1358</v>
      </c>
      <c r="B1276" s="11">
        <f>+B219</f>
        <v>1429</v>
      </c>
      <c r="C1276" s="11" t="str">
        <f>+C219</f>
        <v>Cartera de crédito educativo que no devenga intereses</v>
      </c>
      <c r="D1276" s="37">
        <f>+D219</f>
        <v>0</v>
      </c>
      <c r="E1276" s="37">
        <f>+E219</f>
        <v>0</v>
      </c>
      <c r="F1276" s="37">
        <f>+F219</f>
        <v>0</v>
      </c>
      <c r="G1276" s="37">
        <f>+G219</f>
        <v>0</v>
      </c>
      <c r="H1276" s="37">
        <f>+H219</f>
        <v>0</v>
      </c>
      <c r="I1276" s="37">
        <f>+I219</f>
        <v>0</v>
      </c>
      <c r="J1276" s="37">
        <f>+J219</f>
        <v>0</v>
      </c>
      <c r="K1276" s="37">
        <f>+K219</f>
        <v>17855.219860000001</v>
      </c>
    </row>
    <row r="1277" spans="1:11" x14ac:dyDescent="0.2">
      <c r="A1277" s="15">
        <v>1359</v>
      </c>
      <c r="B1277" s="11">
        <f>+B225</f>
        <v>1430</v>
      </c>
      <c r="C1277" s="11" t="str">
        <f>+C225</f>
        <v>Cartera de créditos de inversión pública que no devenga intereses</v>
      </c>
      <c r="D1277" s="37">
        <f>+D225</f>
        <v>0</v>
      </c>
      <c r="E1277" s="37">
        <f>+E225</f>
        <v>0</v>
      </c>
      <c r="F1277" s="37">
        <f>+F225</f>
        <v>192.62246999999999</v>
      </c>
      <c r="G1277" s="37">
        <f>+G225</f>
        <v>0</v>
      </c>
      <c r="H1277" s="37">
        <f>+H225</f>
        <v>0</v>
      </c>
      <c r="I1277" s="37">
        <f>+I225</f>
        <v>192.62246999999999</v>
      </c>
      <c r="J1277" s="37">
        <f>+J225</f>
        <v>192.62246999999999</v>
      </c>
      <c r="K1277" s="37">
        <f>+K225</f>
        <v>0</v>
      </c>
    </row>
    <row r="1278" spans="1:11" x14ac:dyDescent="0.2">
      <c r="A1278" s="15">
        <v>1360</v>
      </c>
      <c r="B1278" s="11">
        <f>+B231</f>
        <v>1433</v>
      </c>
      <c r="C1278" s="11" t="str">
        <f>+C231</f>
        <v>Cartera de créditos comercial refinanciada que no devenga intereses</v>
      </c>
      <c r="D1278" s="37">
        <f>+D231</f>
        <v>0</v>
      </c>
      <c r="E1278" s="37">
        <f>+E231</f>
        <v>0</v>
      </c>
      <c r="F1278" s="37">
        <f>+F231</f>
        <v>0</v>
      </c>
      <c r="G1278" s="37">
        <f>+G231</f>
        <v>0</v>
      </c>
      <c r="H1278" s="37">
        <f>+H231</f>
        <v>0</v>
      </c>
      <c r="I1278" s="37">
        <f>+I231</f>
        <v>0</v>
      </c>
      <c r="J1278" s="37">
        <f>+J231</f>
        <v>0</v>
      </c>
      <c r="K1278" s="37">
        <f>+K231</f>
        <v>0</v>
      </c>
    </row>
    <row r="1279" spans="1:11" x14ac:dyDescent="0.2">
      <c r="A1279" s="15">
        <v>1361</v>
      </c>
      <c r="B1279" s="11">
        <f>+B237</f>
        <v>1434</v>
      </c>
      <c r="C1279" s="11" t="str">
        <f>+C237</f>
        <v>Cartera de créditos de consumo refinanciada que no devenga intereses</v>
      </c>
      <c r="D1279" s="37">
        <f>+D237</f>
        <v>0</v>
      </c>
      <c r="E1279" s="37">
        <f>+E237</f>
        <v>0</v>
      </c>
      <c r="F1279" s="37">
        <f>+F237</f>
        <v>0</v>
      </c>
      <c r="G1279" s="37">
        <f>+G237</f>
        <v>0</v>
      </c>
      <c r="H1279" s="37">
        <f>+H237</f>
        <v>0</v>
      </c>
      <c r="I1279" s="37">
        <f>+I237</f>
        <v>0</v>
      </c>
      <c r="J1279" s="37">
        <f>+J237</f>
        <v>0</v>
      </c>
      <c r="K1279" s="37">
        <f>+K237</f>
        <v>0</v>
      </c>
    </row>
    <row r="1280" spans="1:11" x14ac:dyDescent="0.2">
      <c r="A1280" s="15">
        <v>1362</v>
      </c>
      <c r="B1280" s="11">
        <f>+B243</f>
        <v>1435</v>
      </c>
      <c r="C1280" s="11" t="str">
        <f>+C243</f>
        <v>Cartera de créditos de vivienda refinanciada que no devenga intereses</v>
      </c>
      <c r="D1280" s="37">
        <f>+D243</f>
        <v>0</v>
      </c>
      <c r="E1280" s="37">
        <f>+E243</f>
        <v>0</v>
      </c>
      <c r="F1280" s="37">
        <f>+F243</f>
        <v>0</v>
      </c>
      <c r="G1280" s="37">
        <f>+G243</f>
        <v>0</v>
      </c>
      <c r="H1280" s="37">
        <f>+H243</f>
        <v>0</v>
      </c>
      <c r="I1280" s="37">
        <f>+I243</f>
        <v>0</v>
      </c>
      <c r="J1280" s="37">
        <f>+J243</f>
        <v>0</v>
      </c>
      <c r="K1280" s="37">
        <f>+K243</f>
        <v>0</v>
      </c>
    </row>
    <row r="1281" spans="1:11" x14ac:dyDescent="0.2">
      <c r="A1281" s="15">
        <v>1363</v>
      </c>
      <c r="B1281" s="11">
        <f>+B249</f>
        <v>1436</v>
      </c>
      <c r="C1281" s="11" t="str">
        <f>+C249</f>
        <v>Cartera de créditos para la microempresa refinanciada que no devenga intereses</v>
      </c>
      <c r="D1281" s="37">
        <f>+D249</f>
        <v>0</v>
      </c>
      <c r="E1281" s="37">
        <f>+E249</f>
        <v>0</v>
      </c>
      <c r="F1281" s="37">
        <f>+F249</f>
        <v>0</v>
      </c>
      <c r="G1281" s="37">
        <f>+G249</f>
        <v>0</v>
      </c>
      <c r="H1281" s="37">
        <f>+H249</f>
        <v>0</v>
      </c>
      <c r="I1281" s="37">
        <f>+I249</f>
        <v>0</v>
      </c>
      <c r="J1281" s="37">
        <f>+J249</f>
        <v>0</v>
      </c>
      <c r="K1281" s="37">
        <f>+K249</f>
        <v>0</v>
      </c>
    </row>
    <row r="1282" spans="1:11" x14ac:dyDescent="0.2">
      <c r="A1282" s="15">
        <v>1364</v>
      </c>
      <c r="B1282" s="11">
        <f>+B255</f>
        <v>1437</v>
      </c>
      <c r="C1282" s="11" t="str">
        <f>+C255</f>
        <v>Cartera de crédito educativo refinanciada que no devenga intereses</v>
      </c>
      <c r="D1282" s="37">
        <f>+D255</f>
        <v>0</v>
      </c>
      <c r="E1282" s="37">
        <f>+E255</f>
        <v>0</v>
      </c>
      <c r="F1282" s="37">
        <f>+F255</f>
        <v>0</v>
      </c>
      <c r="G1282" s="37">
        <f>+G255</f>
        <v>0</v>
      </c>
      <c r="H1282" s="37">
        <f>+H255</f>
        <v>0</v>
      </c>
      <c r="I1282" s="37">
        <f>+I255</f>
        <v>0</v>
      </c>
      <c r="J1282" s="37">
        <f>+J255</f>
        <v>0</v>
      </c>
      <c r="K1282" s="37">
        <f>+K255</f>
        <v>0</v>
      </c>
    </row>
    <row r="1283" spans="1:11" x14ac:dyDescent="0.2">
      <c r="A1283" s="15">
        <v>1365</v>
      </c>
      <c r="B1283" s="11">
        <f>+B261</f>
        <v>1438</v>
      </c>
      <c r="C1283" s="11" t="str">
        <f>+C261</f>
        <v>Cartera de créditos de inversión pública refinanciada que no devenga intereses</v>
      </c>
      <c r="D1283" s="37">
        <f>+D261</f>
        <v>0</v>
      </c>
      <c r="E1283" s="37">
        <f>+E261</f>
        <v>0</v>
      </c>
      <c r="F1283" s="37">
        <f>+F261</f>
        <v>0</v>
      </c>
      <c r="G1283" s="37">
        <f>+G261</f>
        <v>0</v>
      </c>
      <c r="H1283" s="37">
        <f>+H261</f>
        <v>0</v>
      </c>
      <c r="I1283" s="37">
        <f>+I261</f>
        <v>0</v>
      </c>
      <c r="J1283" s="37">
        <f>+J261</f>
        <v>0</v>
      </c>
      <c r="K1283" s="37">
        <f>+K261</f>
        <v>0</v>
      </c>
    </row>
    <row r="1284" spans="1:11" x14ac:dyDescent="0.2">
      <c r="A1284" s="15">
        <v>1366</v>
      </c>
      <c r="B1284" s="11">
        <f>+B267</f>
        <v>1441</v>
      </c>
      <c r="C1284" s="11" t="str">
        <f>+C267</f>
        <v>Cartera de créditos comercial reestructurada que no devenga intereses</v>
      </c>
      <c r="D1284" s="37">
        <f>+D267</f>
        <v>0</v>
      </c>
      <c r="E1284" s="37">
        <f>+E267</f>
        <v>0</v>
      </c>
      <c r="F1284" s="37">
        <f>+F267</f>
        <v>0</v>
      </c>
      <c r="G1284" s="37">
        <f>+G267</f>
        <v>14241.96278</v>
      </c>
      <c r="H1284" s="37">
        <f>+H267</f>
        <v>605.90524000000005</v>
      </c>
      <c r="I1284" s="37">
        <f>+I267</f>
        <v>14847.86802</v>
      </c>
      <c r="J1284" s="37">
        <f>+J267</f>
        <v>14847.86802</v>
      </c>
      <c r="K1284" s="37">
        <f>+K267</f>
        <v>0</v>
      </c>
    </row>
    <row r="1285" spans="1:11" x14ac:dyDescent="0.2">
      <c r="A1285" s="15">
        <v>1367</v>
      </c>
      <c r="B1285" s="11">
        <f>+B273</f>
        <v>1442</v>
      </c>
      <c r="C1285" s="11" t="str">
        <f>+C273</f>
        <v>Cartera de créditos de consumo reestructurada que no devenga intereses</v>
      </c>
      <c r="D1285" s="37">
        <f>+D273</f>
        <v>0</v>
      </c>
      <c r="E1285" s="37">
        <f>+E273</f>
        <v>0</v>
      </c>
      <c r="F1285" s="37">
        <f>+F273</f>
        <v>0</v>
      </c>
      <c r="G1285" s="37">
        <f>+G273</f>
        <v>86.170529999999999</v>
      </c>
      <c r="H1285" s="37">
        <f>+H273</f>
        <v>0</v>
      </c>
      <c r="I1285" s="37">
        <f>+I273</f>
        <v>86.170529999999999</v>
      </c>
      <c r="J1285" s="37">
        <f>+J273</f>
        <v>86.170529999999999</v>
      </c>
      <c r="K1285" s="37">
        <f>+K273</f>
        <v>0</v>
      </c>
    </row>
    <row r="1286" spans="1:11" x14ac:dyDescent="0.2">
      <c r="A1286" s="15">
        <v>1368</v>
      </c>
      <c r="B1286" s="11">
        <f>+B279</f>
        <v>1443</v>
      </c>
      <c r="C1286" s="11" t="str">
        <f>+C279</f>
        <v>Cartera de créditos de vivienda reestructurada que no devenga intereses</v>
      </c>
      <c r="D1286" s="37">
        <f>+D279</f>
        <v>208.40136000000001</v>
      </c>
      <c r="E1286" s="37">
        <f>+E279</f>
        <v>208.40136000000001</v>
      </c>
      <c r="F1286" s="37">
        <f>+F279</f>
        <v>0</v>
      </c>
      <c r="G1286" s="37">
        <f>+G279</f>
        <v>0</v>
      </c>
      <c r="H1286" s="37">
        <f>+H279</f>
        <v>0</v>
      </c>
      <c r="I1286" s="37">
        <f>+I279</f>
        <v>0</v>
      </c>
      <c r="J1286" s="37">
        <f>+J279</f>
        <v>208.40136000000001</v>
      </c>
      <c r="K1286" s="37">
        <f>+K279</f>
        <v>0</v>
      </c>
    </row>
    <row r="1287" spans="1:11" x14ac:dyDescent="0.2">
      <c r="A1287" s="15">
        <v>1369</v>
      </c>
      <c r="B1287" s="11">
        <f>+B285</f>
        <v>1444</v>
      </c>
      <c r="C1287" s="11" t="str">
        <f>+C285</f>
        <v>Cartera de créditos para la microempresa reestructurada que no devenga intereses</v>
      </c>
      <c r="D1287" s="37">
        <f>+D285</f>
        <v>0</v>
      </c>
      <c r="E1287" s="37">
        <f>+E285</f>
        <v>0</v>
      </c>
      <c r="F1287" s="37">
        <f>+F285</f>
        <v>0</v>
      </c>
      <c r="G1287" s="37">
        <f>+G285</f>
        <v>183.86063999999999</v>
      </c>
      <c r="H1287" s="37">
        <f>+H285</f>
        <v>0</v>
      </c>
      <c r="I1287" s="37">
        <f>+I285</f>
        <v>183.86063999999999</v>
      </c>
      <c r="J1287" s="37">
        <f>+J285</f>
        <v>183.86063999999999</v>
      </c>
      <c r="K1287" s="37">
        <f>+K285</f>
        <v>0</v>
      </c>
    </row>
    <row r="1288" spans="1:11" x14ac:dyDescent="0.2">
      <c r="A1288" s="15">
        <v>1370</v>
      </c>
      <c r="B1288" s="11">
        <f>+B291</f>
        <v>1445</v>
      </c>
      <c r="C1288" s="11" t="str">
        <f>+C291</f>
        <v>Cartera de crédito educativo reestructurada que no devenga intereses</v>
      </c>
      <c r="D1288" s="37">
        <f>+D291</f>
        <v>0</v>
      </c>
      <c r="E1288" s="37">
        <f>+E291</f>
        <v>0</v>
      </c>
      <c r="F1288" s="37">
        <f>+F291</f>
        <v>0</v>
      </c>
      <c r="G1288" s="37">
        <f>+G291</f>
        <v>0</v>
      </c>
      <c r="H1288" s="37">
        <f>+H291</f>
        <v>0</v>
      </c>
      <c r="I1288" s="37">
        <f>+I291</f>
        <v>0</v>
      </c>
      <c r="J1288" s="37">
        <f>+J291</f>
        <v>0</v>
      </c>
      <c r="K1288" s="37">
        <f>+K291</f>
        <v>0</v>
      </c>
    </row>
    <row r="1289" spans="1:11" x14ac:dyDescent="0.2">
      <c r="A1289" s="15">
        <v>1371</v>
      </c>
      <c r="B1289" s="11">
        <f>+B297</f>
        <v>1446</v>
      </c>
      <c r="C1289" s="11" t="str">
        <f>+C297</f>
        <v>Cartera de créditos de inversión pública reestructurada que no devenga intereses</v>
      </c>
      <c r="D1289" s="37">
        <f>+D297</f>
        <v>0</v>
      </c>
      <c r="E1289" s="37">
        <f>+E297</f>
        <v>0</v>
      </c>
      <c r="F1289" s="37">
        <f>+F297</f>
        <v>0</v>
      </c>
      <c r="G1289" s="37">
        <f>+G297</f>
        <v>0</v>
      </c>
      <c r="H1289" s="37">
        <f>+H297</f>
        <v>0</v>
      </c>
      <c r="I1289" s="37">
        <f>+I297</f>
        <v>0</v>
      </c>
      <c r="J1289" s="37">
        <f>+J297</f>
        <v>0</v>
      </c>
      <c r="K1289" s="37">
        <f>+K297</f>
        <v>0</v>
      </c>
    </row>
    <row r="1290" spans="1:11" x14ac:dyDescent="0.2">
      <c r="A1290" s="15">
        <v>1372</v>
      </c>
      <c r="B1290" s="11">
        <f>+B303</f>
        <v>1449</v>
      </c>
      <c r="C1290" s="11" t="str">
        <f>+C303</f>
        <v>Cartera de créditos comercial vencida</v>
      </c>
      <c r="D1290" s="37">
        <f>+D303</f>
        <v>9005.1311499999993</v>
      </c>
      <c r="E1290" s="37">
        <f>+E303</f>
        <v>9005.1311499999993</v>
      </c>
      <c r="F1290" s="37">
        <f>+F303</f>
        <v>0</v>
      </c>
      <c r="G1290" s="37">
        <f>+G303</f>
        <v>40898.987090000002</v>
      </c>
      <c r="H1290" s="37">
        <f>+H303</f>
        <v>44839.158150000003</v>
      </c>
      <c r="I1290" s="37">
        <f>+I303</f>
        <v>85738.145240000013</v>
      </c>
      <c r="J1290" s="37">
        <f>+J303</f>
        <v>94743.276390000014</v>
      </c>
      <c r="K1290" s="37">
        <f>+K303</f>
        <v>0</v>
      </c>
    </row>
    <row r="1291" spans="1:11" x14ac:dyDescent="0.2">
      <c r="A1291" s="15">
        <v>1373</v>
      </c>
      <c r="B1291" s="11">
        <f>+B309</f>
        <v>1450</v>
      </c>
      <c r="C1291" s="11" t="str">
        <f>+C309</f>
        <v>Cartera de créditos de consumo vencida</v>
      </c>
      <c r="D1291" s="37">
        <f>+D309</f>
        <v>0</v>
      </c>
      <c r="E1291" s="37">
        <f>+E309</f>
        <v>0</v>
      </c>
      <c r="F1291" s="37">
        <f>+F309</f>
        <v>0</v>
      </c>
      <c r="G1291" s="37">
        <f>+G309</f>
        <v>1422.34312</v>
      </c>
      <c r="H1291" s="37">
        <f>+H309</f>
        <v>0</v>
      </c>
      <c r="I1291" s="37">
        <f>+I309</f>
        <v>1422.34312</v>
      </c>
      <c r="J1291" s="37">
        <f>+J309</f>
        <v>1422.34312</v>
      </c>
      <c r="K1291" s="37">
        <f>+K309</f>
        <v>0</v>
      </c>
    </row>
    <row r="1292" spans="1:11" x14ac:dyDescent="0.2">
      <c r="A1292" s="15">
        <v>1374</v>
      </c>
      <c r="B1292" s="11">
        <f>+B315</f>
        <v>1451</v>
      </c>
      <c r="C1292" s="11" t="str">
        <f>+C315</f>
        <v>Cartera de créditos de vivienda vencida</v>
      </c>
      <c r="D1292" s="37">
        <f>+D315</f>
        <v>55.869</v>
      </c>
      <c r="E1292" s="37">
        <f>+E315</f>
        <v>55.869</v>
      </c>
      <c r="F1292" s="37">
        <f>+F315</f>
        <v>0</v>
      </c>
      <c r="G1292" s="37">
        <f>+G315</f>
        <v>0</v>
      </c>
      <c r="H1292" s="37">
        <f>+H315</f>
        <v>0</v>
      </c>
      <c r="I1292" s="37">
        <f>+I315</f>
        <v>0</v>
      </c>
      <c r="J1292" s="37">
        <f>+J315</f>
        <v>55.869</v>
      </c>
      <c r="K1292" s="37">
        <f>+K315</f>
        <v>0</v>
      </c>
    </row>
    <row r="1293" spans="1:11" x14ac:dyDescent="0.2">
      <c r="A1293" s="15">
        <v>1375</v>
      </c>
      <c r="B1293" s="11">
        <f>+B322</f>
        <v>1452</v>
      </c>
      <c r="C1293" s="11" t="str">
        <f>+C322</f>
        <v>Cartera de créditos para la microempresa vencida</v>
      </c>
      <c r="D1293" s="37">
        <f>+D322</f>
        <v>0</v>
      </c>
      <c r="E1293" s="37">
        <f>+E322</f>
        <v>0</v>
      </c>
      <c r="F1293" s="37">
        <f>+F322</f>
        <v>0</v>
      </c>
      <c r="G1293" s="37">
        <f>+G322</f>
        <v>2778.7677100000001</v>
      </c>
      <c r="H1293" s="37">
        <f>+H322</f>
        <v>685.60401000000002</v>
      </c>
      <c r="I1293" s="37">
        <f>+I322</f>
        <v>3464.3717200000001</v>
      </c>
      <c r="J1293" s="37">
        <f>+J322</f>
        <v>3464.3717200000001</v>
      </c>
      <c r="K1293" s="37">
        <f>+K322</f>
        <v>0</v>
      </c>
    </row>
    <row r="1294" spans="1:11" x14ac:dyDescent="0.2">
      <c r="A1294" s="15">
        <v>1376</v>
      </c>
      <c r="B1294" s="11">
        <f>+B328</f>
        <v>1453</v>
      </c>
      <c r="C1294" s="11" t="str">
        <f>+C328</f>
        <v>Cartera de crédito educativo vencida</v>
      </c>
      <c r="D1294" s="37">
        <f>+D328</f>
        <v>0</v>
      </c>
      <c r="E1294" s="37">
        <f>+E328</f>
        <v>0</v>
      </c>
      <c r="F1294" s="37">
        <f>+F328</f>
        <v>0</v>
      </c>
      <c r="G1294" s="37">
        <f>+G328</f>
        <v>0</v>
      </c>
      <c r="H1294" s="37">
        <f>+H328</f>
        <v>0</v>
      </c>
      <c r="I1294" s="37">
        <f>+I328</f>
        <v>0</v>
      </c>
      <c r="J1294" s="37">
        <f>+J328</f>
        <v>0</v>
      </c>
      <c r="K1294" s="37">
        <f>+K328</f>
        <v>12416.8416</v>
      </c>
    </row>
    <row r="1295" spans="1:11" x14ac:dyDescent="0.2">
      <c r="A1295" s="15">
        <v>1377</v>
      </c>
      <c r="B1295" s="11">
        <f>+B334</f>
        <v>1454</v>
      </c>
      <c r="C1295" s="11" t="str">
        <f>+C334</f>
        <v>Cartera de créditos de inversión pública vencida</v>
      </c>
      <c r="D1295" s="37">
        <f>+D334</f>
        <v>0</v>
      </c>
      <c r="E1295" s="37">
        <f>+E334</f>
        <v>0</v>
      </c>
      <c r="F1295" s="37">
        <f>+F334</f>
        <v>18.01662</v>
      </c>
      <c r="G1295" s="37">
        <f>+G334</f>
        <v>0</v>
      </c>
      <c r="H1295" s="37">
        <f>+H334</f>
        <v>0</v>
      </c>
      <c r="I1295" s="37">
        <f>+I334</f>
        <v>18.01662</v>
      </c>
      <c r="J1295" s="37">
        <f>+J334</f>
        <v>18.01662</v>
      </c>
      <c r="K1295" s="37">
        <f>+K334</f>
        <v>0</v>
      </c>
    </row>
    <row r="1296" spans="1:11" x14ac:dyDescent="0.2">
      <c r="A1296" s="15">
        <v>1378</v>
      </c>
      <c r="B1296" s="11">
        <f>+B340</f>
        <v>1457</v>
      </c>
      <c r="C1296" s="11" t="str">
        <f>+C340</f>
        <v>Cartera de créditos comercial refinanciada vencida</v>
      </c>
      <c r="D1296" s="37">
        <f>+D340</f>
        <v>0</v>
      </c>
      <c r="E1296" s="37">
        <f>+E340</f>
        <v>0</v>
      </c>
      <c r="F1296" s="37">
        <f>+F340</f>
        <v>0</v>
      </c>
      <c r="G1296" s="37">
        <f>+G340</f>
        <v>0</v>
      </c>
      <c r="H1296" s="37">
        <f>+H340</f>
        <v>0</v>
      </c>
      <c r="I1296" s="37">
        <f>+I340</f>
        <v>0</v>
      </c>
      <c r="J1296" s="37">
        <f>+J340</f>
        <v>0</v>
      </c>
      <c r="K1296" s="37">
        <f>+K340</f>
        <v>0</v>
      </c>
    </row>
    <row r="1297" spans="1:11" x14ac:dyDescent="0.2">
      <c r="A1297" s="15">
        <v>1379</v>
      </c>
      <c r="B1297" s="11">
        <f>+B346</f>
        <v>1458</v>
      </c>
      <c r="C1297" s="11" t="str">
        <f>+C346</f>
        <v>Cartera de créditos de consumo refinanciada vencida</v>
      </c>
      <c r="D1297" s="37">
        <f>+D346</f>
        <v>0</v>
      </c>
      <c r="E1297" s="37">
        <f>+E346</f>
        <v>0</v>
      </c>
      <c r="F1297" s="37">
        <f>+F346</f>
        <v>0</v>
      </c>
      <c r="G1297" s="37">
        <f>+G346</f>
        <v>0</v>
      </c>
      <c r="H1297" s="37">
        <f>+H346</f>
        <v>0</v>
      </c>
      <c r="I1297" s="37">
        <f>+I346</f>
        <v>0</v>
      </c>
      <c r="J1297" s="37">
        <f>+J346</f>
        <v>0</v>
      </c>
      <c r="K1297" s="37">
        <f>+K346</f>
        <v>0</v>
      </c>
    </row>
    <row r="1298" spans="1:11" x14ac:dyDescent="0.2">
      <c r="A1298" s="15">
        <v>1380</v>
      </c>
      <c r="B1298" s="11">
        <f>+B352</f>
        <v>1459</v>
      </c>
      <c r="C1298" s="11" t="str">
        <f>+C352</f>
        <v>Cartera de créditos de vivienda refinanciada vencida</v>
      </c>
      <c r="D1298" s="37">
        <f>+D352</f>
        <v>0</v>
      </c>
      <c r="E1298" s="37">
        <f>+E352</f>
        <v>0</v>
      </c>
      <c r="F1298" s="37">
        <f>+F352</f>
        <v>0</v>
      </c>
      <c r="G1298" s="37">
        <f>+G352</f>
        <v>0</v>
      </c>
      <c r="H1298" s="37">
        <f>+H352</f>
        <v>0</v>
      </c>
      <c r="I1298" s="37">
        <f>+I352</f>
        <v>0</v>
      </c>
      <c r="J1298" s="37">
        <f>+J352</f>
        <v>0</v>
      </c>
      <c r="K1298" s="37">
        <f>+K352</f>
        <v>0</v>
      </c>
    </row>
    <row r="1299" spans="1:11" x14ac:dyDescent="0.2">
      <c r="A1299" s="15">
        <v>1381</v>
      </c>
      <c r="B1299" s="11">
        <f>+B359</f>
        <v>1460</v>
      </c>
      <c r="C1299" s="11" t="str">
        <f>+C359</f>
        <v>Cartera de créditos para la microempresa refinanciada vencida</v>
      </c>
      <c r="D1299" s="37">
        <f>+D359</f>
        <v>0</v>
      </c>
      <c r="E1299" s="37">
        <f>+E359</f>
        <v>0</v>
      </c>
      <c r="F1299" s="37">
        <f>+F359</f>
        <v>0</v>
      </c>
      <c r="G1299" s="37">
        <f>+G359</f>
        <v>0</v>
      </c>
      <c r="H1299" s="37">
        <f>+H359</f>
        <v>0</v>
      </c>
      <c r="I1299" s="37">
        <f>+I359</f>
        <v>0</v>
      </c>
      <c r="J1299" s="37">
        <f>+J359</f>
        <v>0</v>
      </c>
      <c r="K1299" s="37">
        <f>+K359</f>
        <v>0</v>
      </c>
    </row>
    <row r="1300" spans="1:11" x14ac:dyDescent="0.2">
      <c r="A1300" s="15">
        <v>1382</v>
      </c>
      <c r="B1300" s="11">
        <f>+B365</f>
        <v>1461</v>
      </c>
      <c r="C1300" s="11" t="str">
        <f>+C365</f>
        <v>Cartera de crédito educativo refinanciada vencida</v>
      </c>
      <c r="D1300" s="37">
        <f>+D365</f>
        <v>0</v>
      </c>
      <c r="E1300" s="37">
        <f>+E365</f>
        <v>0</v>
      </c>
      <c r="F1300" s="37">
        <f>+F365</f>
        <v>0</v>
      </c>
      <c r="G1300" s="37">
        <f>+G365</f>
        <v>0</v>
      </c>
      <c r="H1300" s="37">
        <f>+H365</f>
        <v>0</v>
      </c>
      <c r="I1300" s="37">
        <f>+I365</f>
        <v>0</v>
      </c>
      <c r="J1300" s="37">
        <f>+J365</f>
        <v>0</v>
      </c>
      <c r="K1300" s="37">
        <f>+K365</f>
        <v>0</v>
      </c>
    </row>
    <row r="1301" spans="1:11" x14ac:dyDescent="0.2">
      <c r="A1301" s="15">
        <v>1383</v>
      </c>
      <c r="B1301" s="11">
        <f>+B371</f>
        <v>1462</v>
      </c>
      <c r="C1301" s="11" t="str">
        <f>+C371</f>
        <v>Cartera de créditos de inversión pública refinanciada vencida</v>
      </c>
      <c r="D1301" s="37">
        <f>+D371</f>
        <v>0</v>
      </c>
      <c r="E1301" s="37">
        <f>+E371</f>
        <v>0</v>
      </c>
      <c r="F1301" s="37">
        <f>+F371</f>
        <v>0</v>
      </c>
      <c r="G1301" s="37">
        <f>+G371</f>
        <v>0</v>
      </c>
      <c r="H1301" s="37">
        <f>+H371</f>
        <v>0</v>
      </c>
      <c r="I1301" s="37">
        <f>+I371</f>
        <v>0</v>
      </c>
      <c r="J1301" s="37">
        <f>+J371</f>
        <v>0</v>
      </c>
      <c r="K1301" s="37">
        <f>+K371</f>
        <v>0</v>
      </c>
    </row>
    <row r="1302" spans="1:11" x14ac:dyDescent="0.2">
      <c r="A1302" s="15">
        <v>1384</v>
      </c>
      <c r="B1302" s="11">
        <f>+B377</f>
        <v>1465</v>
      </c>
      <c r="C1302" s="11" t="str">
        <f>+C377</f>
        <v>Cartera de créditos comercial reestructurada vencida</v>
      </c>
      <c r="D1302" s="37">
        <f>+D377</f>
        <v>0</v>
      </c>
      <c r="E1302" s="37">
        <f>+E377</f>
        <v>0</v>
      </c>
      <c r="F1302" s="37">
        <f>+F377</f>
        <v>0</v>
      </c>
      <c r="G1302" s="37">
        <f>+G377</f>
        <v>11396.18087</v>
      </c>
      <c r="H1302" s="37">
        <f>+H377</f>
        <v>950.96981000000005</v>
      </c>
      <c r="I1302" s="37">
        <f>+I377</f>
        <v>12347.150680000001</v>
      </c>
      <c r="J1302" s="37">
        <f>+J377</f>
        <v>12347.150680000001</v>
      </c>
      <c r="K1302" s="37">
        <f>+K377</f>
        <v>0</v>
      </c>
    </row>
    <row r="1303" spans="1:11" x14ac:dyDescent="0.2">
      <c r="A1303" s="15">
        <v>1385</v>
      </c>
      <c r="B1303" s="11">
        <f>+B383</f>
        <v>1466</v>
      </c>
      <c r="C1303" s="11" t="str">
        <f>+C383</f>
        <v>Cartera de créditos de consumo reestructurada vencida</v>
      </c>
      <c r="D1303" s="37">
        <f>+D383</f>
        <v>0</v>
      </c>
      <c r="E1303" s="37">
        <f>+E383</f>
        <v>0</v>
      </c>
      <c r="F1303" s="37">
        <f>+F383</f>
        <v>0</v>
      </c>
      <c r="G1303" s="37">
        <f>+G383</f>
        <v>83.036699999999996</v>
      </c>
      <c r="H1303" s="37">
        <f>+H383</f>
        <v>0</v>
      </c>
      <c r="I1303" s="37">
        <f>+I383</f>
        <v>83.036699999999996</v>
      </c>
      <c r="J1303" s="37">
        <f>+J383</f>
        <v>83.036699999999996</v>
      </c>
      <c r="K1303" s="37">
        <f>+K383</f>
        <v>0</v>
      </c>
    </row>
    <row r="1304" spans="1:11" x14ac:dyDescent="0.2">
      <c r="A1304" s="15">
        <v>1386</v>
      </c>
      <c r="B1304" s="11">
        <f>+B389</f>
        <v>1467</v>
      </c>
      <c r="C1304" s="11" t="str">
        <f>+C389</f>
        <v>Cartera de créditos de vivienda reestructurada vencida</v>
      </c>
      <c r="D1304" s="37">
        <f>+D389</f>
        <v>4.8739699999999999</v>
      </c>
      <c r="E1304" s="37">
        <f>+E389</f>
        <v>4.8739699999999999</v>
      </c>
      <c r="F1304" s="37">
        <f>+F389</f>
        <v>0</v>
      </c>
      <c r="G1304" s="37">
        <f>+G389</f>
        <v>0</v>
      </c>
      <c r="H1304" s="37">
        <f>+H389</f>
        <v>0</v>
      </c>
      <c r="I1304" s="37">
        <f>+I389</f>
        <v>0</v>
      </c>
      <c r="J1304" s="37">
        <f>+J389</f>
        <v>4.8739699999999999</v>
      </c>
      <c r="K1304" s="37">
        <f>+K389</f>
        <v>0</v>
      </c>
    </row>
    <row r="1305" spans="1:11" x14ac:dyDescent="0.2">
      <c r="A1305" s="15">
        <v>1387</v>
      </c>
      <c r="B1305" s="11">
        <f>+B396</f>
        <v>1468</v>
      </c>
      <c r="C1305" s="11" t="str">
        <f>+C396</f>
        <v>Cartera de créditos para la microempresa reestructurada vencida</v>
      </c>
      <c r="D1305" s="37">
        <f>+D396</f>
        <v>0</v>
      </c>
      <c r="E1305" s="37">
        <f>+E396</f>
        <v>0</v>
      </c>
      <c r="F1305" s="37">
        <f>+F396</f>
        <v>0</v>
      </c>
      <c r="G1305" s="37">
        <f>+G396</f>
        <v>140.64618999999999</v>
      </c>
      <c r="H1305" s="37">
        <f>+H396</f>
        <v>0</v>
      </c>
      <c r="I1305" s="37">
        <f>+I396</f>
        <v>140.64618999999999</v>
      </c>
      <c r="J1305" s="37">
        <f>+J396</f>
        <v>140.64618999999999</v>
      </c>
      <c r="K1305" s="37">
        <f>+K396</f>
        <v>0</v>
      </c>
    </row>
    <row r="1306" spans="1:11" x14ac:dyDescent="0.2">
      <c r="A1306" s="15">
        <v>1388</v>
      </c>
      <c r="B1306" s="11">
        <f>+B402</f>
        <v>1469</v>
      </c>
      <c r="C1306" s="11" t="str">
        <f>+C402</f>
        <v>Cartera de crédito educativo reestructurada vencida</v>
      </c>
      <c r="D1306" s="37">
        <f>+D402</f>
        <v>0</v>
      </c>
      <c r="E1306" s="37">
        <f>+E402</f>
        <v>0</v>
      </c>
      <c r="F1306" s="37">
        <f>+F402</f>
        <v>0</v>
      </c>
      <c r="G1306" s="37">
        <f>+G402</f>
        <v>0</v>
      </c>
      <c r="H1306" s="37">
        <f>+H402</f>
        <v>0</v>
      </c>
      <c r="I1306" s="37">
        <f>+I402</f>
        <v>0</v>
      </c>
      <c r="J1306" s="37">
        <f>+J402</f>
        <v>0</v>
      </c>
      <c r="K1306" s="37">
        <f>+K402</f>
        <v>0</v>
      </c>
    </row>
    <row r="1307" spans="1:11" x14ac:dyDescent="0.2">
      <c r="A1307" s="15">
        <v>1389</v>
      </c>
      <c r="B1307" s="11">
        <f>+B408</f>
        <v>1470</v>
      </c>
      <c r="C1307" s="11" t="str">
        <f>+C408</f>
        <v>Cartera de créditos de inversión pública reestructurada vencida</v>
      </c>
      <c r="D1307" s="37">
        <f>+D408</f>
        <v>0</v>
      </c>
      <c r="E1307" s="37">
        <f>+E408</f>
        <v>0</v>
      </c>
      <c r="F1307" s="37">
        <f>+F408</f>
        <v>0</v>
      </c>
      <c r="G1307" s="37">
        <f>+G408</f>
        <v>0</v>
      </c>
      <c r="H1307" s="37">
        <f>+H408</f>
        <v>0</v>
      </c>
      <c r="I1307" s="37">
        <f>+I408</f>
        <v>0</v>
      </c>
      <c r="J1307" s="37">
        <f>+J408</f>
        <v>0</v>
      </c>
      <c r="K1307" s="37">
        <f>+K408</f>
        <v>0</v>
      </c>
    </row>
    <row r="1308" spans="1:11" x14ac:dyDescent="0.2">
      <c r="A1308" s="15">
        <v>1390</v>
      </c>
      <c r="B1308" s="11">
        <f>+B427</f>
        <v>16</v>
      </c>
      <c r="C1308" s="11" t="str">
        <f>+C427</f>
        <v>CUENTAS POR COBRAR</v>
      </c>
      <c r="D1308" s="37">
        <f>+D427</f>
        <v>3355.36913</v>
      </c>
      <c r="E1308" s="37">
        <f>+E427</f>
        <v>3355.36913</v>
      </c>
      <c r="F1308" s="37">
        <f>+F427</f>
        <v>72344.741649999996</v>
      </c>
      <c r="G1308" s="37">
        <f>+G427</f>
        <v>203581.0502</v>
      </c>
      <c r="H1308" s="37">
        <f>+H427</f>
        <v>82129.793619999997</v>
      </c>
      <c r="I1308" s="37">
        <f>+I427</f>
        <v>358055.58546999999</v>
      </c>
      <c r="J1308" s="37">
        <f>+J427</f>
        <v>361410.9546</v>
      </c>
      <c r="K1308" s="37">
        <f>+K427</f>
        <v>2569.4989300000002</v>
      </c>
    </row>
    <row r="1309" spans="1:11" x14ac:dyDescent="0.2">
      <c r="A1309" s="15">
        <v>1391</v>
      </c>
      <c r="B1309" s="11">
        <f>+B485</f>
        <v>17</v>
      </c>
      <c r="C1309" s="11" t="str">
        <f>+C485</f>
        <v>BIENES REALIZABLES, ADJUDICADOS POR PAGO, DE ARRENDAMIENTO MERCANTIL Y NO UTILIZADOS POR LA INSTITUCION</v>
      </c>
      <c r="D1309" s="37">
        <f>+D485</f>
        <v>23015.34547</v>
      </c>
      <c r="E1309" s="37">
        <f>+E485</f>
        <v>23015.34547</v>
      </c>
      <c r="F1309" s="37">
        <f>+F485</f>
        <v>6706.2979800000003</v>
      </c>
      <c r="G1309" s="37">
        <f>+G485</f>
        <v>2139.7321299999999</v>
      </c>
      <c r="H1309" s="37">
        <f>+H485</f>
        <v>10645.76331</v>
      </c>
      <c r="I1309" s="37">
        <f>+I485</f>
        <v>19491.793420000002</v>
      </c>
      <c r="J1309" s="37">
        <f>+J485</f>
        <v>42507.138890000002</v>
      </c>
      <c r="K1309" s="37">
        <f>+K485</f>
        <v>0</v>
      </c>
    </row>
    <row r="1310" spans="1:11" x14ac:dyDescent="0.2">
      <c r="A1310" s="15">
        <v>1392</v>
      </c>
      <c r="B1310" s="11">
        <f>+B534</f>
        <v>18</v>
      </c>
      <c r="C1310" s="11" t="str">
        <f>+C534</f>
        <v>PROPIEDADES Y EQUIPO</v>
      </c>
      <c r="D1310" s="37">
        <f>+D534</f>
        <v>7079.7335199999998</v>
      </c>
      <c r="E1310" s="37">
        <f>+E534</f>
        <v>7079.7335199999998</v>
      </c>
      <c r="F1310" s="37">
        <f>+F534</f>
        <v>5522.7246299999997</v>
      </c>
      <c r="G1310" s="37">
        <f>+G534</f>
        <v>28830.328750000001</v>
      </c>
      <c r="H1310" s="37">
        <f>+H534</f>
        <v>37892.1008</v>
      </c>
      <c r="I1310" s="37">
        <f>+I534</f>
        <v>72245.154179999998</v>
      </c>
      <c r="J1310" s="37">
        <f>+J534</f>
        <v>79324.887699999992</v>
      </c>
      <c r="K1310" s="37">
        <f>+K534</f>
        <v>7496.7115000000003</v>
      </c>
    </row>
    <row r="1311" spans="1:11" x14ac:dyDescent="0.2">
      <c r="A1311" s="15">
        <v>1393</v>
      </c>
      <c r="B1311" s="11">
        <f>+B554</f>
        <v>19</v>
      </c>
      <c r="C1311" s="11" t="str">
        <f>+C554</f>
        <v>OTROS ACTIVOS</v>
      </c>
      <c r="D1311" s="37">
        <f>+D554</f>
        <v>9265.2750500000002</v>
      </c>
      <c r="E1311" s="37">
        <f>+E554</f>
        <v>9265.2750500000002</v>
      </c>
      <c r="F1311" s="37">
        <f>+F554</f>
        <v>1472.52575</v>
      </c>
      <c r="G1311" s="37">
        <f>+G554</f>
        <v>40349.771370000002</v>
      </c>
      <c r="H1311" s="37">
        <f>+H554</f>
        <v>510379.31440999999</v>
      </c>
      <c r="I1311" s="37">
        <f>+I554</f>
        <v>552201.61152999999</v>
      </c>
      <c r="J1311" s="37">
        <f>+J554</f>
        <v>561466.88658000005</v>
      </c>
      <c r="K1311" s="37">
        <f>+K554</f>
        <v>2628.0649899999999</v>
      </c>
    </row>
    <row r="1312" spans="1:11" x14ac:dyDescent="0.2">
      <c r="A1312" s="15">
        <v>1394</v>
      </c>
      <c r="B1312" s="11">
        <f>-B555</f>
        <v>-1901</v>
      </c>
      <c r="C1312" s="11" t="str">
        <f>C555</f>
        <v>Inversiones en acciones y participaciones</v>
      </c>
      <c r="D1312" s="37">
        <f>-D555</f>
        <v>-6754.8012600000002</v>
      </c>
      <c r="E1312" s="37">
        <f>-E555</f>
        <v>-6754.8012600000002</v>
      </c>
      <c r="F1312" s="37">
        <f>-F555</f>
        <v>0</v>
      </c>
      <c r="G1312" s="37">
        <f>-G555</f>
        <v>-2249.15607</v>
      </c>
      <c r="H1312" s="37">
        <f>-H555</f>
        <v>-455060.44397999998</v>
      </c>
      <c r="I1312" s="37">
        <f>-I555</f>
        <v>-457309.60005000001</v>
      </c>
      <c r="J1312" s="37">
        <f>-J555</f>
        <v>-464064.40130999999</v>
      </c>
      <c r="K1312" s="37">
        <f>-K555</f>
        <v>0</v>
      </c>
    </row>
    <row r="1313" spans="1:11" x14ac:dyDescent="0.2">
      <c r="A1313" s="15">
        <v>1395</v>
      </c>
      <c r="B1313" s="11">
        <f>-B582</f>
        <v>-1903</v>
      </c>
      <c r="C1313" s="11" t="str">
        <f>C582</f>
        <v>Otras inversiones en participaciones</v>
      </c>
      <c r="D1313" s="37">
        <f>-D582</f>
        <v>0</v>
      </c>
      <c r="E1313" s="37">
        <f>-E582</f>
        <v>0</v>
      </c>
      <c r="F1313" s="37">
        <f>-F582</f>
        <v>0</v>
      </c>
      <c r="G1313" s="37">
        <f>-G582</f>
        <v>0</v>
      </c>
      <c r="H1313" s="37">
        <f>-H582</f>
        <v>0</v>
      </c>
      <c r="I1313" s="37">
        <f>-I582</f>
        <v>0</v>
      </c>
      <c r="J1313" s="37">
        <f>-J582</f>
        <v>0</v>
      </c>
      <c r="K1313" s="37">
        <f>-K582</f>
        <v>0</v>
      </c>
    </row>
    <row r="1314" spans="1:11" x14ac:dyDescent="0.2">
      <c r="A1314" s="15">
        <v>1396</v>
      </c>
      <c r="B1314" s="11">
        <f>+B414</f>
        <v>1499</v>
      </c>
      <c r="C1314" s="11" t="str">
        <f>+C414</f>
        <v>(Provisiones para créditos incobrables)</v>
      </c>
      <c r="D1314" s="37">
        <f>+D414</f>
        <v>-16559.367289999998</v>
      </c>
      <c r="E1314" s="37">
        <f>+E414</f>
        <v>-16559.367289999998</v>
      </c>
      <c r="F1314" s="37">
        <f>+F414</f>
        <v>-11177.734270000001</v>
      </c>
      <c r="G1314" s="37">
        <f>+G414</f>
        <v>-105879.39492000001</v>
      </c>
      <c r="H1314" s="37">
        <f>+H414</f>
        <v>-74639.560490000003</v>
      </c>
      <c r="I1314" s="37">
        <f>+I414</f>
        <v>-191696.68968000001</v>
      </c>
      <c r="J1314" s="37">
        <f>+J414</f>
        <v>-208256.05697000001</v>
      </c>
      <c r="K1314" s="37">
        <f>+K414</f>
        <v>-14505.387930000001</v>
      </c>
    </row>
    <row r="1315" spans="1:11" x14ac:dyDescent="0.2">
      <c r="A1315" s="15">
        <v>1397</v>
      </c>
      <c r="B1315" s="11">
        <f>-B580</f>
        <v>-190280</v>
      </c>
      <c r="C1315" s="11" t="str">
        <f>C580</f>
        <v>Inversiones en acciones y participaciones</v>
      </c>
      <c r="D1315" s="37">
        <f>-D580</f>
        <v>0</v>
      </c>
      <c r="E1315" s="37">
        <f>-E580</f>
        <v>0</v>
      </c>
      <c r="F1315" s="37">
        <f>-F580</f>
        <v>0</v>
      </c>
      <c r="G1315" s="37">
        <f>-G580</f>
        <v>0</v>
      </c>
      <c r="H1315" s="37">
        <f>-H580</f>
        <v>0</v>
      </c>
      <c r="I1315" s="37">
        <f>-I580</f>
        <v>0</v>
      </c>
      <c r="J1315" s="37">
        <f>-J580</f>
        <v>0</v>
      </c>
      <c r="K1315" s="37">
        <f>-K580</f>
        <v>0</v>
      </c>
    </row>
    <row r="1316" spans="1:11" ht="15" x14ac:dyDescent="0.25">
      <c r="A1316" s="15">
        <v>1398</v>
      </c>
      <c r="C1316" s="36" t="s">
        <v>637</v>
      </c>
      <c r="D1316" s="41">
        <f>SUM(D1272:D1315)</f>
        <v>42745.696119999993</v>
      </c>
      <c r="E1316" s="41">
        <f t="shared" ref="E1316:K1316" si="147">SUM(E1272:E1315)</f>
        <v>42745.696119999993</v>
      </c>
      <c r="F1316" s="41">
        <f t="shared" si="147"/>
        <v>75079.194829999993</v>
      </c>
      <c r="G1316" s="41">
        <f t="shared" si="147"/>
        <v>315232.95192999998</v>
      </c>
      <c r="H1316" s="41">
        <f t="shared" si="147"/>
        <v>185511.76984000002</v>
      </c>
      <c r="I1316" s="41">
        <f t="shared" si="147"/>
        <v>575823.91659999988</v>
      </c>
      <c r="J1316" s="41">
        <f t="shared" si="147"/>
        <v>618569.61271999998</v>
      </c>
      <c r="K1316" s="41">
        <f t="shared" si="147"/>
        <v>28460.948949999995</v>
      </c>
    </row>
    <row r="1317" spans="1:11" x14ac:dyDescent="0.2">
      <c r="A1317" s="15">
        <v>1399</v>
      </c>
      <c r="D1317" s="37"/>
      <c r="E1317" s="37"/>
      <c r="F1317" s="37"/>
      <c r="G1317" s="37"/>
      <c r="H1317" s="37"/>
      <c r="I1317" s="37"/>
      <c r="J1317" s="37"/>
      <c r="K1317" s="37"/>
    </row>
    <row r="1318" spans="1:11" ht="15" x14ac:dyDescent="0.25">
      <c r="A1318" s="15">
        <v>1400</v>
      </c>
      <c r="C1318" s="38" t="s">
        <v>638</v>
      </c>
      <c r="D1318" s="37"/>
      <c r="E1318" s="37"/>
      <c r="F1318" s="37"/>
      <c r="G1318" s="37"/>
      <c r="H1318" s="37"/>
      <c r="I1318" s="37"/>
      <c r="J1318" s="37"/>
      <c r="K1318" s="37"/>
    </row>
    <row r="1319" spans="1:11" x14ac:dyDescent="0.2">
      <c r="A1319" s="15">
        <v>1401</v>
      </c>
      <c r="B1319" s="11">
        <f>+B625</f>
        <v>2101</v>
      </c>
      <c r="C1319" s="11" t="str">
        <f>+C625</f>
        <v>Depósitos a la vista</v>
      </c>
      <c r="D1319" s="37">
        <f>+D625</f>
        <v>20782.49872</v>
      </c>
      <c r="E1319" s="37">
        <f>+E625</f>
        <v>20782.49872</v>
      </c>
      <c r="F1319" s="37">
        <f>+F625</f>
        <v>0</v>
      </c>
      <c r="G1319" s="37">
        <f>+G625</f>
        <v>692955.14200999995</v>
      </c>
      <c r="H1319" s="37">
        <f>+H625</f>
        <v>0</v>
      </c>
      <c r="I1319" s="37">
        <f>+I625</f>
        <v>692955.14200999995</v>
      </c>
      <c r="J1319" s="37">
        <f>+J625</f>
        <v>713737.64072999998</v>
      </c>
      <c r="K1319" s="37">
        <f>+K625</f>
        <v>0</v>
      </c>
    </row>
    <row r="1320" spans="1:11" x14ac:dyDescent="0.2">
      <c r="A1320" s="15">
        <v>1402</v>
      </c>
      <c r="B1320" s="11">
        <f>+B637</f>
        <v>2102</v>
      </c>
      <c r="C1320" s="11" t="str">
        <f>+C637</f>
        <v>Operaciones de reporto</v>
      </c>
      <c r="D1320" s="37">
        <f>+D637</f>
        <v>0</v>
      </c>
      <c r="E1320" s="37">
        <f>+E637</f>
        <v>0</v>
      </c>
      <c r="F1320" s="37">
        <f>+F637</f>
        <v>0</v>
      </c>
      <c r="G1320" s="37">
        <f>+G637</f>
        <v>0</v>
      </c>
      <c r="H1320" s="37">
        <f>+H637</f>
        <v>0</v>
      </c>
      <c r="I1320" s="37">
        <f>+I637</f>
        <v>0</v>
      </c>
      <c r="J1320" s="37">
        <f>+J637</f>
        <v>0</v>
      </c>
      <c r="K1320" s="37">
        <f>+K637</f>
        <v>0</v>
      </c>
    </row>
    <row r="1321" spans="1:11" x14ac:dyDescent="0.2">
      <c r="A1321" s="15">
        <v>1403</v>
      </c>
      <c r="B1321" s="11">
        <f>+B642</f>
        <v>210305</v>
      </c>
      <c r="C1321" s="11" t="str">
        <f>+C642</f>
        <v>De 1 a 30 días</v>
      </c>
      <c r="D1321" s="37">
        <f>+D642</f>
        <v>0</v>
      </c>
      <c r="E1321" s="37">
        <f>+E642</f>
        <v>0</v>
      </c>
      <c r="F1321" s="37">
        <f>+F642</f>
        <v>25407.11003</v>
      </c>
      <c r="G1321" s="37">
        <f>+G642</f>
        <v>21165.806140000001</v>
      </c>
      <c r="H1321" s="37">
        <f>+H642</f>
        <v>93304.922439999995</v>
      </c>
      <c r="I1321" s="37">
        <f>+I642</f>
        <v>139877.83860999998</v>
      </c>
      <c r="J1321" s="37">
        <f>+J642</f>
        <v>139877.83860999998</v>
      </c>
      <c r="K1321" s="37">
        <f>+K642</f>
        <v>0</v>
      </c>
    </row>
    <row r="1322" spans="1:11" x14ac:dyDescent="0.2">
      <c r="A1322" s="15">
        <v>1404</v>
      </c>
      <c r="B1322" s="11">
        <f>+B643</f>
        <v>210310</v>
      </c>
      <c r="C1322" s="11" t="str">
        <f>+C643</f>
        <v>De 31 a 90 días</v>
      </c>
      <c r="D1322" s="37">
        <f>+D643</f>
        <v>16666.666669999999</v>
      </c>
      <c r="E1322" s="37">
        <f>+E643</f>
        <v>16666.666669999999</v>
      </c>
      <c r="F1322" s="37">
        <f>+F643</f>
        <v>135286.94691</v>
      </c>
      <c r="G1322" s="37">
        <f>+G643</f>
        <v>61539.078979999998</v>
      </c>
      <c r="H1322" s="37">
        <f>+H643</f>
        <v>232453.05348999999</v>
      </c>
      <c r="I1322" s="37">
        <f>+I643</f>
        <v>429279.07938000001</v>
      </c>
      <c r="J1322" s="37">
        <f>+J643</f>
        <v>445945.74605000002</v>
      </c>
      <c r="K1322" s="37">
        <f>+K643</f>
        <v>0</v>
      </c>
    </row>
    <row r="1323" spans="1:11" ht="15" x14ac:dyDescent="0.25">
      <c r="A1323" s="15">
        <v>1405</v>
      </c>
      <c r="C1323" s="38" t="s">
        <v>639</v>
      </c>
      <c r="D1323" s="41">
        <f>SUM(D1319:D1322)</f>
        <v>37449.165389999995</v>
      </c>
      <c r="E1323" s="41">
        <f t="shared" ref="E1323:K1323" si="148">SUM(E1319:E1322)</f>
        <v>37449.165389999995</v>
      </c>
      <c r="F1323" s="41">
        <f t="shared" si="148"/>
        <v>160694.05694000001</v>
      </c>
      <c r="G1323" s="41">
        <f t="shared" si="148"/>
        <v>775660.02712999994</v>
      </c>
      <c r="H1323" s="41">
        <f t="shared" si="148"/>
        <v>325757.97592999996</v>
      </c>
      <c r="I1323" s="41">
        <f t="shared" si="148"/>
        <v>1262112.06</v>
      </c>
      <c r="J1323" s="41">
        <f t="shared" si="148"/>
        <v>1299561.22539</v>
      </c>
      <c r="K1323" s="41">
        <f t="shared" si="148"/>
        <v>0</v>
      </c>
    </row>
    <row r="1324" spans="1:11" x14ac:dyDescent="0.2">
      <c r="A1324" s="15">
        <v>1406</v>
      </c>
      <c r="D1324" s="37"/>
      <c r="E1324" s="37"/>
      <c r="F1324" s="37"/>
      <c r="G1324" s="37"/>
      <c r="H1324" s="37"/>
      <c r="I1324" s="37"/>
      <c r="J1324" s="37"/>
      <c r="K1324" s="37"/>
    </row>
    <row r="1325" spans="1:11" ht="15" x14ac:dyDescent="0.25">
      <c r="A1325" s="15">
        <v>1407</v>
      </c>
      <c r="C1325" s="36" t="s">
        <v>640</v>
      </c>
      <c r="D1325" s="37"/>
      <c r="E1325" s="37"/>
      <c r="F1325" s="37"/>
      <c r="G1325" s="37"/>
      <c r="H1325" s="37"/>
      <c r="I1325" s="37"/>
      <c r="J1325" s="37"/>
      <c r="K1325" s="37"/>
    </row>
    <row r="1326" spans="1:11" x14ac:dyDescent="0.2">
      <c r="A1326" s="15">
        <v>1408</v>
      </c>
      <c r="B1326" s="11">
        <f>+B9</f>
        <v>11</v>
      </c>
      <c r="C1326" s="11" t="str">
        <f>+C9</f>
        <v>FONDOS DISPONIBLES</v>
      </c>
      <c r="D1326" s="37">
        <f>+D9</f>
        <v>20338.50459</v>
      </c>
      <c r="E1326" s="37">
        <f>+E9</f>
        <v>20338.50459</v>
      </c>
      <c r="F1326" s="37">
        <f>+F9</f>
        <v>174734.24729999999</v>
      </c>
      <c r="G1326" s="37">
        <f>+G9</f>
        <v>131056.78765</v>
      </c>
      <c r="H1326" s="37">
        <f>+H9</f>
        <v>28493.401320000001</v>
      </c>
      <c r="I1326" s="37">
        <f>+I9</f>
        <v>334284.43627000001</v>
      </c>
      <c r="J1326" s="37">
        <f>+J9</f>
        <v>354622.94086000003</v>
      </c>
      <c r="K1326" s="37">
        <f>+K9</f>
        <v>122183.12802</v>
      </c>
    </row>
    <row r="1327" spans="1:11" x14ac:dyDescent="0.2">
      <c r="A1327" s="15">
        <v>1409</v>
      </c>
      <c r="B1327" s="11">
        <f>-B22</f>
        <v>-1105</v>
      </c>
      <c r="C1327" s="11" t="str">
        <f>C22</f>
        <v>Remesas en tránsito</v>
      </c>
      <c r="D1327" s="37">
        <f>-D22</f>
        <v>0</v>
      </c>
      <c r="E1327" s="37">
        <f>-E22</f>
        <v>0</v>
      </c>
      <c r="F1327" s="37">
        <f>-F22</f>
        <v>0</v>
      </c>
      <c r="G1327" s="37">
        <f>-G22</f>
        <v>-824.26482999999996</v>
      </c>
      <c r="H1327" s="37">
        <f>-H22</f>
        <v>0</v>
      </c>
      <c r="I1327" s="37">
        <f>-I22</f>
        <v>-824.26482999999996</v>
      </c>
      <c r="J1327" s="37">
        <f>-J22</f>
        <v>-824.26482999999996</v>
      </c>
      <c r="K1327" s="37">
        <f>-K22</f>
        <v>0</v>
      </c>
    </row>
    <row r="1328" spans="1:11" x14ac:dyDescent="0.2">
      <c r="A1328" s="15">
        <v>1410</v>
      </c>
      <c r="B1328" s="11">
        <f>+B26</f>
        <v>1201</v>
      </c>
      <c r="C1328" s="11" t="str">
        <f>+C26</f>
        <v>Fondos interbancarios vendidos</v>
      </c>
      <c r="D1328" s="37">
        <f>+D26</f>
        <v>0</v>
      </c>
      <c r="E1328" s="37">
        <f>+E26</f>
        <v>0</v>
      </c>
      <c r="F1328" s="37">
        <f>+F26</f>
        <v>0</v>
      </c>
      <c r="G1328" s="37">
        <f>+G26</f>
        <v>0</v>
      </c>
      <c r="H1328" s="37">
        <f>+H26</f>
        <v>0</v>
      </c>
      <c r="I1328" s="37">
        <f>+I26</f>
        <v>0</v>
      </c>
      <c r="J1328" s="37">
        <f>+J26</f>
        <v>0</v>
      </c>
      <c r="K1328" s="37">
        <f>+K26</f>
        <v>0</v>
      </c>
    </row>
    <row r="1329" spans="1:11" x14ac:dyDescent="0.2">
      <c r="A1329" s="15">
        <v>1411</v>
      </c>
      <c r="B1329" s="11">
        <f>-B651</f>
        <v>-2201</v>
      </c>
      <c r="C1329" s="11" t="str">
        <f>C651</f>
        <v>Fondos interbancarios comprados</v>
      </c>
      <c r="D1329" s="37">
        <f>-D651</f>
        <v>0</v>
      </c>
      <c r="E1329" s="37">
        <f>-E651</f>
        <v>0</v>
      </c>
      <c r="F1329" s="37">
        <f>-F651</f>
        <v>0</v>
      </c>
      <c r="G1329" s="37">
        <f>-G651</f>
        <v>0</v>
      </c>
      <c r="H1329" s="37">
        <f>-H651</f>
        <v>0</v>
      </c>
      <c r="I1329" s="37">
        <f>-I651</f>
        <v>0</v>
      </c>
      <c r="J1329" s="37">
        <f>-J651</f>
        <v>0</v>
      </c>
      <c r="K1329" s="37">
        <f>-K651</f>
        <v>0</v>
      </c>
    </row>
    <row r="1330" spans="1:11" x14ac:dyDescent="0.2">
      <c r="A1330" s="15">
        <v>1412</v>
      </c>
      <c r="B1330" s="11">
        <f>+B29</f>
        <v>1202</v>
      </c>
      <c r="C1330" s="11" t="str">
        <f>+C29</f>
        <v>Operaciones de reporto con instituciones financieras</v>
      </c>
      <c r="D1330" s="37">
        <f>+D29</f>
        <v>0</v>
      </c>
      <c r="E1330" s="37">
        <f>+E29</f>
        <v>0</v>
      </c>
      <c r="F1330" s="37">
        <f>+F29</f>
        <v>0</v>
      </c>
      <c r="G1330" s="37">
        <f>+G29</f>
        <v>0</v>
      </c>
      <c r="H1330" s="37">
        <f>+H29</f>
        <v>0</v>
      </c>
      <c r="I1330" s="37">
        <f>+I29</f>
        <v>0</v>
      </c>
      <c r="J1330" s="37">
        <f>+J29</f>
        <v>0</v>
      </c>
      <c r="K1330" s="37">
        <f>+K29</f>
        <v>0</v>
      </c>
    </row>
    <row r="1331" spans="1:11" x14ac:dyDescent="0.2">
      <c r="A1331" s="15">
        <v>1413</v>
      </c>
      <c r="B1331" s="11">
        <f>+B78</f>
        <v>130705</v>
      </c>
      <c r="C1331" s="11" t="str">
        <f>+C78</f>
        <v>Entregadas para operaciones de reporto</v>
      </c>
      <c r="D1331" s="37">
        <f>+D78</f>
        <v>0</v>
      </c>
      <c r="E1331" s="37">
        <f>+E78</f>
        <v>0</v>
      </c>
      <c r="F1331" s="37">
        <f>+F78</f>
        <v>0</v>
      </c>
      <c r="G1331" s="37">
        <f>+G78</f>
        <v>0</v>
      </c>
      <c r="H1331" s="37">
        <f>+H78</f>
        <v>655</v>
      </c>
      <c r="I1331" s="37">
        <f>+I78</f>
        <v>655</v>
      </c>
      <c r="J1331" s="37">
        <f>+J78</f>
        <v>655</v>
      </c>
      <c r="K1331" s="37">
        <f>+K78</f>
        <v>0</v>
      </c>
    </row>
    <row r="1332" spans="1:11" x14ac:dyDescent="0.2">
      <c r="A1332" s="15">
        <v>1414</v>
      </c>
      <c r="B1332" s="11">
        <f>-B637</f>
        <v>-2102</v>
      </c>
      <c r="C1332" s="11" t="str">
        <f>C637</f>
        <v>Operaciones de reporto</v>
      </c>
      <c r="D1332" s="37">
        <f>-D637</f>
        <v>0</v>
      </c>
      <c r="E1332" s="37">
        <f>-E637</f>
        <v>0</v>
      </c>
      <c r="F1332" s="37">
        <f>-F637</f>
        <v>0</v>
      </c>
      <c r="G1332" s="37">
        <f>-G637</f>
        <v>0</v>
      </c>
      <c r="H1332" s="37">
        <f>-H637</f>
        <v>0</v>
      </c>
      <c r="I1332" s="37">
        <f>-I637</f>
        <v>0</v>
      </c>
      <c r="J1332" s="37">
        <f>-J637</f>
        <v>0</v>
      </c>
      <c r="K1332" s="37">
        <f>-K637</f>
        <v>0</v>
      </c>
    </row>
    <row r="1333" spans="1:11" x14ac:dyDescent="0.2">
      <c r="A1333" s="15">
        <v>1415</v>
      </c>
      <c r="B1333" s="11">
        <f>-B654</f>
        <v>-2202</v>
      </c>
      <c r="C1333" s="11" t="str">
        <f>C654</f>
        <v>Operaciones de reporto con instituciones financieras</v>
      </c>
      <c r="D1333" s="37">
        <f>-D654</f>
        <v>0</v>
      </c>
      <c r="E1333" s="37">
        <f>-E654</f>
        <v>0</v>
      </c>
      <c r="F1333" s="37">
        <f>-F654</f>
        <v>0</v>
      </c>
      <c r="G1333" s="37">
        <f>-G654</f>
        <v>0</v>
      </c>
      <c r="H1333" s="37">
        <f>-H654</f>
        <v>-655</v>
      </c>
      <c r="I1333" s="37">
        <f>-I654</f>
        <v>-655</v>
      </c>
      <c r="J1333" s="37">
        <f>-J654</f>
        <v>-655</v>
      </c>
      <c r="K1333" s="37">
        <f>-K654</f>
        <v>0</v>
      </c>
    </row>
    <row r="1334" spans="1:11" x14ac:dyDescent="0.2">
      <c r="A1334" s="15">
        <v>1416</v>
      </c>
      <c r="B1334" s="11">
        <f>+B36</f>
        <v>130105</v>
      </c>
      <c r="C1334" s="11" t="str">
        <f>+C36</f>
        <v>De 1 a 30 días</v>
      </c>
      <c r="D1334" s="37">
        <f>+D36</f>
        <v>0</v>
      </c>
      <c r="E1334" s="37">
        <f>+E36</f>
        <v>0</v>
      </c>
      <c r="F1334" s="37">
        <f>+F36</f>
        <v>0</v>
      </c>
      <c r="G1334" s="37">
        <f>+G36</f>
        <v>0</v>
      </c>
      <c r="H1334" s="37">
        <f>+H36</f>
        <v>0</v>
      </c>
      <c r="I1334" s="37">
        <f>+I36</f>
        <v>0</v>
      </c>
      <c r="J1334" s="37">
        <f>+J36</f>
        <v>0</v>
      </c>
      <c r="K1334" s="37">
        <f>+K36</f>
        <v>0</v>
      </c>
    </row>
    <row r="1335" spans="1:11" x14ac:dyDescent="0.2">
      <c r="A1335" s="15">
        <v>1417</v>
      </c>
      <c r="B1335" s="11">
        <f>+B37</f>
        <v>130110</v>
      </c>
      <c r="C1335" s="11" t="str">
        <f>+C37</f>
        <v>De 31 a 90 días</v>
      </c>
      <c r="D1335" s="37">
        <f>+D37</f>
        <v>0</v>
      </c>
      <c r="E1335" s="37">
        <f>+E37</f>
        <v>0</v>
      </c>
      <c r="F1335" s="37">
        <f>+F37</f>
        <v>0</v>
      </c>
      <c r="G1335" s="37">
        <f>+G37</f>
        <v>0</v>
      </c>
      <c r="H1335" s="37">
        <f>+H37</f>
        <v>0</v>
      </c>
      <c r="I1335" s="37">
        <f>+I37</f>
        <v>0</v>
      </c>
      <c r="J1335" s="37">
        <f>+J37</f>
        <v>0</v>
      </c>
      <c r="K1335" s="37">
        <f>+K37</f>
        <v>0</v>
      </c>
    </row>
    <row r="1336" spans="1:11" x14ac:dyDescent="0.2">
      <c r="A1336" s="15">
        <v>1418</v>
      </c>
      <c r="B1336" s="11">
        <f>+B42</f>
        <v>130205</v>
      </c>
      <c r="C1336" s="11" t="str">
        <f>+C42</f>
        <v>De 1 a 30 días</v>
      </c>
      <c r="D1336" s="37">
        <f>+D42</f>
        <v>0</v>
      </c>
      <c r="E1336" s="37">
        <f>+E42</f>
        <v>0</v>
      </c>
      <c r="F1336" s="37">
        <f>+F42</f>
        <v>0</v>
      </c>
      <c r="G1336" s="37">
        <f>+G42</f>
        <v>0</v>
      </c>
      <c r="H1336" s="37">
        <f>+H42</f>
        <v>0</v>
      </c>
      <c r="I1336" s="37">
        <f>+I42</f>
        <v>0</v>
      </c>
      <c r="J1336" s="37">
        <f>+J42</f>
        <v>0</v>
      </c>
      <c r="K1336" s="37">
        <f>+K42</f>
        <v>0</v>
      </c>
    </row>
    <row r="1337" spans="1:11" x14ac:dyDescent="0.2">
      <c r="A1337" s="15">
        <v>1419</v>
      </c>
      <c r="B1337" s="11">
        <f>+B43</f>
        <v>130210</v>
      </c>
      <c r="C1337" s="11" t="str">
        <f>+C43</f>
        <v>De 31 a 90 días</v>
      </c>
      <c r="D1337" s="37">
        <f>+D43</f>
        <v>0</v>
      </c>
      <c r="E1337" s="37">
        <f>+E43</f>
        <v>0</v>
      </c>
      <c r="F1337" s="37">
        <f>+F43</f>
        <v>0</v>
      </c>
      <c r="G1337" s="37">
        <f>+G43</f>
        <v>0</v>
      </c>
      <c r="H1337" s="37">
        <f>+H43</f>
        <v>0</v>
      </c>
      <c r="I1337" s="37">
        <f>+I43</f>
        <v>0</v>
      </c>
      <c r="J1337" s="37">
        <f>+J43</f>
        <v>0</v>
      </c>
      <c r="K1337" s="37">
        <f>+K43</f>
        <v>0</v>
      </c>
    </row>
    <row r="1338" spans="1:11" x14ac:dyDescent="0.2">
      <c r="A1338" s="15">
        <v>1420</v>
      </c>
      <c r="B1338" s="11">
        <f>+B48</f>
        <v>130305</v>
      </c>
      <c r="C1338" s="11" t="str">
        <f>+C48</f>
        <v>De 1 a 30 días</v>
      </c>
      <c r="D1338" s="37">
        <f>+D48</f>
        <v>3594.3074299999998</v>
      </c>
      <c r="E1338" s="37">
        <f>+E48</f>
        <v>3594.3074299999998</v>
      </c>
      <c r="F1338" s="37">
        <f>+F48</f>
        <v>0</v>
      </c>
      <c r="G1338" s="37">
        <f>+G48</f>
        <v>30684.78398</v>
      </c>
      <c r="H1338" s="37">
        <f>+H48</f>
        <v>18836.575110000002</v>
      </c>
      <c r="I1338" s="37">
        <f>+I48</f>
        <v>49521.359089999998</v>
      </c>
      <c r="J1338" s="37">
        <f>+J48</f>
        <v>53115.666519999999</v>
      </c>
      <c r="K1338" s="37">
        <f>+K48</f>
        <v>0</v>
      </c>
    </row>
    <row r="1339" spans="1:11" x14ac:dyDescent="0.2">
      <c r="A1339" s="15">
        <v>1421</v>
      </c>
      <c r="B1339" s="11">
        <f>+B49</f>
        <v>130310</v>
      </c>
      <c r="C1339" s="11" t="str">
        <f>+C49</f>
        <v>De 31 a 90 días</v>
      </c>
      <c r="D1339" s="37">
        <f>+D49</f>
        <v>2436.8458300000002</v>
      </c>
      <c r="E1339" s="37">
        <f>+E49</f>
        <v>2436.8458300000002</v>
      </c>
      <c r="F1339" s="37">
        <f>+F49</f>
        <v>0</v>
      </c>
      <c r="G1339" s="37">
        <f>+G49</f>
        <v>22047.543949999999</v>
      </c>
      <c r="H1339" s="37">
        <f>+H49</f>
        <v>44573.063569999998</v>
      </c>
      <c r="I1339" s="37">
        <f>+I49</f>
        <v>66620.60751999999</v>
      </c>
      <c r="J1339" s="37">
        <f>+J49</f>
        <v>69057.453349999996</v>
      </c>
      <c r="K1339" s="37">
        <f>+K49</f>
        <v>0</v>
      </c>
    </row>
    <row r="1340" spans="1:11" x14ac:dyDescent="0.2">
      <c r="A1340" s="15">
        <v>1422</v>
      </c>
      <c r="B1340" s="11">
        <f>+B54</f>
        <v>130405</v>
      </c>
      <c r="C1340" s="11" t="str">
        <f>+C54</f>
        <v>De 1 a 30 días</v>
      </c>
      <c r="D1340" s="37">
        <f>+D54</f>
        <v>3000</v>
      </c>
      <c r="E1340" s="37">
        <f>+E54</f>
        <v>3000</v>
      </c>
      <c r="F1340" s="37">
        <f>+F54</f>
        <v>0</v>
      </c>
      <c r="G1340" s="37">
        <f>+G54</f>
        <v>10760.81862</v>
      </c>
      <c r="H1340" s="37">
        <f>+H54</f>
        <v>37.146799999999999</v>
      </c>
      <c r="I1340" s="37">
        <f>+I54</f>
        <v>10797.96542</v>
      </c>
      <c r="J1340" s="37">
        <f>+J54</f>
        <v>13797.96542</v>
      </c>
      <c r="K1340" s="37">
        <f>+K54</f>
        <v>0</v>
      </c>
    </row>
    <row r="1341" spans="1:11" x14ac:dyDescent="0.2">
      <c r="A1341" s="15">
        <v>1423</v>
      </c>
      <c r="B1341" s="11">
        <f>+B55</f>
        <v>130410</v>
      </c>
      <c r="C1341" s="11" t="str">
        <f>+C55</f>
        <v>De 31 a 90 días</v>
      </c>
      <c r="D1341" s="37">
        <f>+D55</f>
        <v>1499.9993999999999</v>
      </c>
      <c r="E1341" s="37">
        <f>+E55</f>
        <v>1499.9993999999999</v>
      </c>
      <c r="F1341" s="37">
        <f>+F55</f>
        <v>54922.675199999998</v>
      </c>
      <c r="G1341" s="37">
        <f>+G55</f>
        <v>73727.876350000006</v>
      </c>
      <c r="H1341" s="37">
        <f>+H55</f>
        <v>347.99889999999999</v>
      </c>
      <c r="I1341" s="37">
        <f>+I55</f>
        <v>128998.55045000001</v>
      </c>
      <c r="J1341" s="37">
        <f>+J55</f>
        <v>130498.54985000001</v>
      </c>
      <c r="K1341" s="37">
        <f>+K55</f>
        <v>0</v>
      </c>
    </row>
    <row r="1342" spans="1:11" ht="15" x14ac:dyDescent="0.25">
      <c r="A1342" s="15">
        <v>1424</v>
      </c>
      <c r="C1342" s="36" t="s">
        <v>641</v>
      </c>
      <c r="D1342" s="41">
        <f>SUM(D1326:D1341)</f>
        <v>30869.657250000004</v>
      </c>
      <c r="E1342" s="41">
        <f t="shared" ref="E1342:K1342" si="149">SUM(E1326:E1341)</f>
        <v>30869.657250000004</v>
      </c>
      <c r="F1342" s="41">
        <f t="shared" si="149"/>
        <v>229656.92249999999</v>
      </c>
      <c r="G1342" s="41">
        <f t="shared" si="149"/>
        <v>267453.54571999999</v>
      </c>
      <c r="H1342" s="41">
        <f t="shared" si="149"/>
        <v>92288.185700000016</v>
      </c>
      <c r="I1342" s="41">
        <f t="shared" si="149"/>
        <v>589398.65391999995</v>
      </c>
      <c r="J1342" s="41">
        <f t="shared" si="149"/>
        <v>620268.31117000012</v>
      </c>
      <c r="K1342" s="41">
        <f t="shared" si="149"/>
        <v>122183.12802</v>
      </c>
    </row>
    <row r="1343" spans="1:11" x14ac:dyDescent="0.2">
      <c r="A1343" s="15">
        <v>1425</v>
      </c>
      <c r="D1343" s="37"/>
      <c r="E1343" s="37"/>
      <c r="F1343" s="37"/>
      <c r="G1343" s="37"/>
      <c r="H1343" s="37"/>
      <c r="I1343" s="37"/>
      <c r="J1343" s="37"/>
      <c r="K1343" s="37"/>
    </row>
    <row r="1344" spans="1:11" ht="15" x14ac:dyDescent="0.25">
      <c r="A1344" s="15">
        <v>1426</v>
      </c>
      <c r="C1344" s="36" t="s">
        <v>642</v>
      </c>
      <c r="D1344" s="37"/>
      <c r="E1344" s="37"/>
      <c r="F1344" s="37"/>
      <c r="G1344" s="37"/>
      <c r="H1344" s="37"/>
      <c r="I1344" s="37"/>
      <c r="J1344" s="37"/>
      <c r="K1344" s="37"/>
    </row>
    <row r="1345" spans="1:11" x14ac:dyDescent="0.2">
      <c r="A1345" s="15">
        <v>1427</v>
      </c>
      <c r="C1345" s="11" t="str">
        <f>C1342</f>
        <v>TOTAL A</v>
      </c>
      <c r="D1345" s="37">
        <f>D1342</f>
        <v>30869.657250000004</v>
      </c>
      <c r="E1345" s="37">
        <f t="shared" ref="E1345:K1345" si="150">E1342</f>
        <v>30869.657250000004</v>
      </c>
      <c r="F1345" s="37">
        <f t="shared" si="150"/>
        <v>229656.92249999999</v>
      </c>
      <c r="G1345" s="37">
        <f t="shared" si="150"/>
        <v>267453.54571999999</v>
      </c>
      <c r="H1345" s="37">
        <f t="shared" si="150"/>
        <v>92288.185700000016</v>
      </c>
      <c r="I1345" s="37">
        <f t="shared" si="150"/>
        <v>589398.65391999995</v>
      </c>
      <c r="J1345" s="37">
        <f t="shared" si="150"/>
        <v>620268.31117000012</v>
      </c>
      <c r="K1345" s="37">
        <f t="shared" si="150"/>
        <v>122183.12802</v>
      </c>
    </row>
    <row r="1346" spans="1:11" x14ac:dyDescent="0.2">
      <c r="A1346" s="15">
        <v>1428</v>
      </c>
      <c r="B1346" s="11">
        <f>+B38</f>
        <v>130115</v>
      </c>
      <c r="C1346" s="11" t="str">
        <f>+C38</f>
        <v>De 91 a 180 días</v>
      </c>
      <c r="D1346" s="37">
        <f>+D38</f>
        <v>0</v>
      </c>
      <c r="E1346" s="37">
        <f>+E38</f>
        <v>0</v>
      </c>
      <c r="F1346" s="37">
        <f>+F38</f>
        <v>0</v>
      </c>
      <c r="G1346" s="37">
        <f>+G38</f>
        <v>0</v>
      </c>
      <c r="H1346" s="37">
        <f>+H38</f>
        <v>0</v>
      </c>
      <c r="I1346" s="37">
        <f>+I38</f>
        <v>0</v>
      </c>
      <c r="J1346" s="37">
        <f>+J38</f>
        <v>0</v>
      </c>
      <c r="K1346" s="37">
        <f>+K38</f>
        <v>0</v>
      </c>
    </row>
    <row r="1347" spans="1:11" x14ac:dyDescent="0.2">
      <c r="A1347" s="15">
        <v>1429</v>
      </c>
      <c r="B1347" s="11">
        <f>+B44</f>
        <v>130215</v>
      </c>
      <c r="C1347" s="11" t="str">
        <f>+C44</f>
        <v>De 91 a 180 días</v>
      </c>
      <c r="D1347" s="37">
        <f>+D44</f>
        <v>0</v>
      </c>
      <c r="E1347" s="37">
        <f>+E44</f>
        <v>0</v>
      </c>
      <c r="F1347" s="37">
        <f>+F44</f>
        <v>0</v>
      </c>
      <c r="G1347" s="37">
        <f>+G44</f>
        <v>0</v>
      </c>
      <c r="H1347" s="37">
        <f>+H44</f>
        <v>0</v>
      </c>
      <c r="I1347" s="37">
        <f>+I44</f>
        <v>0</v>
      </c>
      <c r="J1347" s="37">
        <f>+J44</f>
        <v>0</v>
      </c>
      <c r="K1347" s="37">
        <f>+K44</f>
        <v>0</v>
      </c>
    </row>
    <row r="1348" spans="1:11" x14ac:dyDescent="0.2">
      <c r="A1348" s="15">
        <v>1430</v>
      </c>
      <c r="B1348" s="11">
        <f>+B50</f>
        <v>130315</v>
      </c>
      <c r="C1348" s="11" t="str">
        <f>+C50</f>
        <v>De 91 a 180 días</v>
      </c>
      <c r="D1348" s="37">
        <f>+D50</f>
        <v>2576.2865099999999</v>
      </c>
      <c r="E1348" s="37">
        <f>+E50</f>
        <v>2576.2865099999999</v>
      </c>
      <c r="F1348" s="37">
        <f>+F50</f>
        <v>0</v>
      </c>
      <c r="G1348" s="37">
        <f>+G50</f>
        <v>3930.9900400000001</v>
      </c>
      <c r="H1348" s="37">
        <f>+H50</f>
        <v>13074.147999999999</v>
      </c>
      <c r="I1348" s="37">
        <f>+I50</f>
        <v>17005.138039999998</v>
      </c>
      <c r="J1348" s="37">
        <f>+J50</f>
        <v>19581.424549999996</v>
      </c>
      <c r="K1348" s="37">
        <f>+K50</f>
        <v>0</v>
      </c>
    </row>
    <row r="1349" spans="1:11" x14ac:dyDescent="0.2">
      <c r="A1349" s="15">
        <v>1431</v>
      </c>
      <c r="B1349" s="11">
        <f>+B56</f>
        <v>130415</v>
      </c>
      <c r="C1349" s="11" t="str">
        <f>+C56</f>
        <v>De 91 a 180 días</v>
      </c>
      <c r="D1349" s="37">
        <f>+D56</f>
        <v>0.85614000000000001</v>
      </c>
      <c r="E1349" s="37">
        <f>+E56</f>
        <v>0.85614000000000001</v>
      </c>
      <c r="F1349" s="37">
        <f>+F56</f>
        <v>0</v>
      </c>
      <c r="G1349" s="37">
        <f>+G56</f>
        <v>13714.93996</v>
      </c>
      <c r="H1349" s="37">
        <f>+H56</f>
        <v>676.51630999999998</v>
      </c>
      <c r="I1349" s="37">
        <f>+I56</f>
        <v>14391.456269999999</v>
      </c>
      <c r="J1349" s="37">
        <f>+J56</f>
        <v>14392.312409999999</v>
      </c>
      <c r="K1349" s="37">
        <f>+K56</f>
        <v>0</v>
      </c>
    </row>
    <row r="1350" spans="1:11" x14ac:dyDescent="0.2">
      <c r="A1350" s="15">
        <v>1432</v>
      </c>
      <c r="B1350" s="11">
        <f>+B60</f>
        <v>130505</v>
      </c>
      <c r="C1350" s="11" t="str">
        <f>+C60</f>
        <v>De 1 a 30 días</v>
      </c>
      <c r="D1350" s="37">
        <f>+D60</f>
        <v>0</v>
      </c>
      <c r="E1350" s="37">
        <f>+E60</f>
        <v>0</v>
      </c>
      <c r="F1350" s="37">
        <f>+F60</f>
        <v>0</v>
      </c>
      <c r="G1350" s="37">
        <f>+G60</f>
        <v>0</v>
      </c>
      <c r="H1350" s="37">
        <f>+H60</f>
        <v>0</v>
      </c>
      <c r="I1350" s="37">
        <f>+I60</f>
        <v>0</v>
      </c>
      <c r="J1350" s="37">
        <f>+J60</f>
        <v>0</v>
      </c>
      <c r="K1350" s="37">
        <f>+K60</f>
        <v>0</v>
      </c>
    </row>
    <row r="1351" spans="1:11" x14ac:dyDescent="0.2">
      <c r="A1351" s="15">
        <v>1433</v>
      </c>
      <c r="B1351" s="11">
        <f>+B61</f>
        <v>130510</v>
      </c>
      <c r="C1351" s="11" t="str">
        <f>+C61</f>
        <v>De 31 a 90 días</v>
      </c>
      <c r="D1351" s="37">
        <f>+D61</f>
        <v>0</v>
      </c>
      <c r="E1351" s="37">
        <f>+E61</f>
        <v>0</v>
      </c>
      <c r="F1351" s="37">
        <f>+F61</f>
        <v>0</v>
      </c>
      <c r="G1351" s="37">
        <f>+G61</f>
        <v>0</v>
      </c>
      <c r="H1351" s="37">
        <f>+H61</f>
        <v>0</v>
      </c>
      <c r="I1351" s="37">
        <f>+I61</f>
        <v>0</v>
      </c>
      <c r="J1351" s="37">
        <f>+J61</f>
        <v>0</v>
      </c>
      <c r="K1351" s="37">
        <f>+K61</f>
        <v>0</v>
      </c>
    </row>
    <row r="1352" spans="1:11" x14ac:dyDescent="0.2">
      <c r="A1352" s="15">
        <v>1434</v>
      </c>
      <c r="B1352" s="11">
        <f>+B62</f>
        <v>130515</v>
      </c>
      <c r="C1352" s="11" t="str">
        <f>+C62</f>
        <v>De 91 a 180 días</v>
      </c>
      <c r="D1352" s="37">
        <f>+D62</f>
        <v>0</v>
      </c>
      <c r="E1352" s="37">
        <f>+E62</f>
        <v>0</v>
      </c>
      <c r="F1352" s="37">
        <f>+F62</f>
        <v>0</v>
      </c>
      <c r="G1352" s="37">
        <f>+G62</f>
        <v>0</v>
      </c>
      <c r="H1352" s="37">
        <f>+H62</f>
        <v>0</v>
      </c>
      <c r="I1352" s="37">
        <f>+I62</f>
        <v>0</v>
      </c>
      <c r="J1352" s="37">
        <f>+J62</f>
        <v>0</v>
      </c>
      <c r="K1352" s="37">
        <f>+K62</f>
        <v>0</v>
      </c>
    </row>
    <row r="1353" spans="1:11" x14ac:dyDescent="0.2">
      <c r="A1353" s="15">
        <v>1435</v>
      </c>
      <c r="B1353" s="11">
        <f>+B118</f>
        <v>140605</v>
      </c>
      <c r="C1353" s="11" t="str">
        <f>+C118</f>
        <v>De 1 a 30 días</v>
      </c>
      <c r="D1353" s="37">
        <f>+D118</f>
        <v>0</v>
      </c>
      <c r="E1353" s="37">
        <f>+E118</f>
        <v>0</v>
      </c>
      <c r="F1353" s="37">
        <f>+F118</f>
        <v>22216.21285</v>
      </c>
      <c r="G1353" s="37">
        <f>+G118</f>
        <v>0</v>
      </c>
      <c r="H1353" s="37">
        <f>+H118</f>
        <v>0</v>
      </c>
      <c r="I1353" s="37">
        <f>+I118</f>
        <v>22216.21285</v>
      </c>
      <c r="J1353" s="37">
        <f>+J118</f>
        <v>22216.21285</v>
      </c>
      <c r="K1353" s="37">
        <f>+K118</f>
        <v>0</v>
      </c>
    </row>
    <row r="1354" spans="1:11" x14ac:dyDescent="0.2">
      <c r="A1354" s="15">
        <v>1436</v>
      </c>
      <c r="B1354" s="11">
        <f>+B119</f>
        <v>140610</v>
      </c>
      <c r="C1354" s="11" t="str">
        <f>+C119</f>
        <v>De 31 a 90 días</v>
      </c>
      <c r="D1354" s="37">
        <f>+D119</f>
        <v>0</v>
      </c>
      <c r="E1354" s="37">
        <f>+E119</f>
        <v>0</v>
      </c>
      <c r="F1354" s="37">
        <f>+F119</f>
        <v>43923.507279999998</v>
      </c>
      <c r="G1354" s="37">
        <f>+G119</f>
        <v>0</v>
      </c>
      <c r="H1354" s="37">
        <f>+H119</f>
        <v>0</v>
      </c>
      <c r="I1354" s="37">
        <f>+I119</f>
        <v>43923.507279999998</v>
      </c>
      <c r="J1354" s="37">
        <f>+J119</f>
        <v>43923.507279999998</v>
      </c>
      <c r="K1354" s="37">
        <f>+K119</f>
        <v>0</v>
      </c>
    </row>
    <row r="1355" spans="1:11" x14ac:dyDescent="0.2">
      <c r="A1355" s="15">
        <v>1437</v>
      </c>
      <c r="B1355" s="11">
        <f>+B120</f>
        <v>140615</v>
      </c>
      <c r="C1355" s="11" t="str">
        <f>+C120</f>
        <v>De 91 a 180 días</v>
      </c>
      <c r="D1355" s="37">
        <f>+D120</f>
        <v>0</v>
      </c>
      <c r="E1355" s="37">
        <f>+E120</f>
        <v>0</v>
      </c>
      <c r="F1355" s="37">
        <f>+F120</f>
        <v>63771.103640000001</v>
      </c>
      <c r="G1355" s="37">
        <f>+G120</f>
        <v>0</v>
      </c>
      <c r="H1355" s="37">
        <f>+H120</f>
        <v>0</v>
      </c>
      <c r="I1355" s="37">
        <f>+I120</f>
        <v>63771.103640000001</v>
      </c>
      <c r="J1355" s="37">
        <f>+J120</f>
        <v>63771.103640000001</v>
      </c>
      <c r="K1355" s="37">
        <f>+K120</f>
        <v>0</v>
      </c>
    </row>
    <row r="1356" spans="1:11" ht="15" x14ac:dyDescent="0.25">
      <c r="A1356" s="15">
        <v>1438</v>
      </c>
      <c r="C1356" s="36" t="s">
        <v>643</v>
      </c>
      <c r="D1356" s="41">
        <f>SUM(D1345:D1355)</f>
        <v>33446.799900000005</v>
      </c>
      <c r="E1356" s="41">
        <f t="shared" ref="E1356:K1356" si="151">SUM(E1345:E1355)</f>
        <v>33446.799900000005</v>
      </c>
      <c r="F1356" s="41">
        <f t="shared" si="151"/>
        <v>359567.74627</v>
      </c>
      <c r="G1356" s="41">
        <f t="shared" si="151"/>
        <v>285099.47571999999</v>
      </c>
      <c r="H1356" s="41">
        <f t="shared" si="151"/>
        <v>106038.85001000002</v>
      </c>
      <c r="I1356" s="41">
        <f t="shared" si="151"/>
        <v>750706.07199999993</v>
      </c>
      <c r="J1356" s="41">
        <f t="shared" si="151"/>
        <v>784152.87190000014</v>
      </c>
      <c r="K1356" s="41">
        <f t="shared" si="151"/>
        <v>122183.12802</v>
      </c>
    </row>
    <row r="1357" spans="1:11" x14ac:dyDescent="0.2">
      <c r="A1357" s="15">
        <v>1439</v>
      </c>
      <c r="D1357" s="37"/>
      <c r="E1357" s="37"/>
      <c r="F1357" s="37"/>
      <c r="G1357" s="37"/>
      <c r="H1357" s="37"/>
      <c r="I1357" s="37"/>
      <c r="J1357" s="37"/>
      <c r="K1357" s="37"/>
    </row>
    <row r="1358" spans="1:11" ht="15" x14ac:dyDescent="0.25">
      <c r="A1358" s="15">
        <v>1440</v>
      </c>
      <c r="C1358" s="36" t="s">
        <v>644</v>
      </c>
      <c r="D1358" s="37"/>
      <c r="E1358" s="37"/>
      <c r="F1358" s="37"/>
      <c r="G1358" s="37"/>
      <c r="H1358" s="37"/>
      <c r="I1358" s="37"/>
      <c r="J1358" s="37"/>
      <c r="K1358" s="37"/>
    </row>
    <row r="1359" spans="1:11" x14ac:dyDescent="0.2">
      <c r="A1359" s="15">
        <v>1441</v>
      </c>
      <c r="B1359" s="48" t="s">
        <v>645</v>
      </c>
      <c r="C1359" s="11" t="s">
        <v>646</v>
      </c>
      <c r="D1359" s="37">
        <f>SUM(D1272:D1307)</f>
        <v>23344.141499999998</v>
      </c>
      <c r="E1359" s="37">
        <f t="shared" ref="E1359:K1359" si="152">SUM(E1272:E1307)</f>
        <v>23344.141499999998</v>
      </c>
      <c r="F1359" s="37">
        <f t="shared" si="152"/>
        <v>210.63908999999998</v>
      </c>
      <c r="G1359" s="37">
        <f>SUM(G1272:G1307)</f>
        <v>148460.62046999999</v>
      </c>
      <c r="H1359" s="37">
        <f t="shared" si="152"/>
        <v>74164.802169999995</v>
      </c>
      <c r="I1359" s="37">
        <f t="shared" si="152"/>
        <v>222836.06173000002</v>
      </c>
      <c r="J1359" s="37">
        <f t="shared" si="152"/>
        <v>246180.20322999998</v>
      </c>
      <c r="K1359" s="37">
        <f t="shared" si="152"/>
        <v>30272.061460000001</v>
      </c>
    </row>
    <row r="1360" spans="1:11" x14ac:dyDescent="0.2">
      <c r="A1360" s="15">
        <v>1442</v>
      </c>
      <c r="B1360" s="11">
        <f>+B414</f>
        <v>1499</v>
      </c>
      <c r="C1360" s="11" t="str">
        <f>+C414</f>
        <v>(Provisiones para créditos incobrables)</v>
      </c>
      <c r="D1360" s="37">
        <f>+D1314</f>
        <v>-16559.367289999998</v>
      </c>
      <c r="E1360" s="37">
        <f t="shared" ref="E1360:K1360" si="153">+E1314</f>
        <v>-16559.367289999998</v>
      </c>
      <c r="F1360" s="37">
        <f t="shared" si="153"/>
        <v>-11177.734270000001</v>
      </c>
      <c r="G1360" s="37">
        <f t="shared" si="153"/>
        <v>-105879.39492000001</v>
      </c>
      <c r="H1360" s="37">
        <f t="shared" si="153"/>
        <v>-74639.560490000003</v>
      </c>
      <c r="I1360" s="37">
        <f t="shared" si="153"/>
        <v>-191696.68968000001</v>
      </c>
      <c r="J1360" s="37">
        <f t="shared" si="153"/>
        <v>-208256.05697000001</v>
      </c>
      <c r="K1360" s="37">
        <f t="shared" si="153"/>
        <v>-14505.387930000001</v>
      </c>
    </row>
    <row r="1361" spans="1:11" x14ac:dyDescent="0.2">
      <c r="A1361" s="15">
        <v>1443</v>
      </c>
      <c r="B1361" s="11">
        <f>+B566</f>
        <v>190221</v>
      </c>
      <c r="C1361" s="11" t="str">
        <f>+C566</f>
        <v>Cartera de créditos que no devenga intereses</v>
      </c>
      <c r="D1361" s="37">
        <f>+D566</f>
        <v>0</v>
      </c>
      <c r="E1361" s="37">
        <f>+E566</f>
        <v>0</v>
      </c>
      <c r="F1361" s="37">
        <f>+F566</f>
        <v>0</v>
      </c>
      <c r="G1361" s="37">
        <f>+G566</f>
        <v>0</v>
      </c>
      <c r="H1361" s="37">
        <f>+H566</f>
        <v>0</v>
      </c>
      <c r="I1361" s="37">
        <f>+I566</f>
        <v>0</v>
      </c>
      <c r="J1361" s="37">
        <f>+J566</f>
        <v>0</v>
      </c>
      <c r="K1361" s="37">
        <f>+K566</f>
        <v>0</v>
      </c>
    </row>
    <row r="1362" spans="1:11" x14ac:dyDescent="0.2">
      <c r="A1362" s="15">
        <v>1444</v>
      </c>
      <c r="B1362" s="11">
        <f>+B567</f>
        <v>190225</v>
      </c>
      <c r="C1362" s="11" t="str">
        <f>+C567</f>
        <v>Cartera de créditos refinanciada que no devenga intereses</v>
      </c>
      <c r="D1362" s="37">
        <f>+D567</f>
        <v>0</v>
      </c>
      <c r="E1362" s="37">
        <f>+E567</f>
        <v>0</v>
      </c>
      <c r="F1362" s="37">
        <f>+F567</f>
        <v>0</v>
      </c>
      <c r="G1362" s="37">
        <f>+G567</f>
        <v>0</v>
      </c>
      <c r="H1362" s="37">
        <f>+H567</f>
        <v>0</v>
      </c>
      <c r="I1362" s="37">
        <f>+I567</f>
        <v>0</v>
      </c>
      <c r="J1362" s="37">
        <f>+J567</f>
        <v>0</v>
      </c>
      <c r="K1362" s="37">
        <f>+K567</f>
        <v>0</v>
      </c>
    </row>
    <row r="1363" spans="1:11" x14ac:dyDescent="0.2">
      <c r="A1363" s="15">
        <v>1445</v>
      </c>
      <c r="B1363" s="11">
        <f>+B568</f>
        <v>190226</v>
      </c>
      <c r="C1363" s="11" t="str">
        <f>+C568</f>
        <v>Cartera de créditos reestructurada que no devenga intereses</v>
      </c>
      <c r="D1363" s="37">
        <f>+D568</f>
        <v>0</v>
      </c>
      <c r="E1363" s="37">
        <f>+E568</f>
        <v>0</v>
      </c>
      <c r="F1363" s="37">
        <f>+F568</f>
        <v>0</v>
      </c>
      <c r="G1363" s="37">
        <f>+G568</f>
        <v>0</v>
      </c>
      <c r="H1363" s="37">
        <f>+H568</f>
        <v>0</v>
      </c>
      <c r="I1363" s="37">
        <f>+I568</f>
        <v>0</v>
      </c>
      <c r="J1363" s="37">
        <f>+J568</f>
        <v>0</v>
      </c>
      <c r="K1363" s="37">
        <f>+K568</f>
        <v>0</v>
      </c>
    </row>
    <row r="1364" spans="1:11" x14ac:dyDescent="0.2">
      <c r="A1364" s="15">
        <v>1446</v>
      </c>
      <c r="B1364" s="11">
        <f>+B569</f>
        <v>190230</v>
      </c>
      <c r="C1364" s="11" t="str">
        <f>+C569</f>
        <v>Cartera de créditos vencida</v>
      </c>
      <c r="D1364" s="37">
        <f>+D569</f>
        <v>0</v>
      </c>
      <c r="E1364" s="37">
        <f>+E569</f>
        <v>0</v>
      </c>
      <c r="F1364" s="37">
        <f>+F569</f>
        <v>0</v>
      </c>
      <c r="G1364" s="37">
        <f>+G569</f>
        <v>0</v>
      </c>
      <c r="H1364" s="37">
        <f>+H569</f>
        <v>0</v>
      </c>
      <c r="I1364" s="37">
        <f>+I569</f>
        <v>0</v>
      </c>
      <c r="J1364" s="37">
        <f>+J569</f>
        <v>0</v>
      </c>
      <c r="K1364" s="37">
        <f>+K569</f>
        <v>0</v>
      </c>
    </row>
    <row r="1365" spans="1:11" x14ac:dyDescent="0.2">
      <c r="A1365" s="15">
        <v>1447</v>
      </c>
      <c r="B1365" s="11">
        <f>+B570</f>
        <v>190231</v>
      </c>
      <c r="C1365" s="11" t="str">
        <f>+C570</f>
        <v>Cartera de créditos refinanciada vencida</v>
      </c>
      <c r="D1365" s="37">
        <f>+D570</f>
        <v>0</v>
      </c>
      <c r="E1365" s="37">
        <f>+E570</f>
        <v>0</v>
      </c>
      <c r="F1365" s="37">
        <f>+F570</f>
        <v>0</v>
      </c>
      <c r="G1365" s="37">
        <f>+G570</f>
        <v>0</v>
      </c>
      <c r="H1365" s="37">
        <f>+H570</f>
        <v>0</v>
      </c>
      <c r="I1365" s="37">
        <f>+I570</f>
        <v>0</v>
      </c>
      <c r="J1365" s="37">
        <f>+J570</f>
        <v>0</v>
      </c>
      <c r="K1365" s="37">
        <f>+K570</f>
        <v>0</v>
      </c>
    </row>
    <row r="1366" spans="1:11" x14ac:dyDescent="0.2">
      <c r="A1366" s="15">
        <v>1448</v>
      </c>
      <c r="B1366" s="11">
        <f>+B571</f>
        <v>190235</v>
      </c>
      <c r="C1366" s="11" t="str">
        <f>+C571</f>
        <v>Cartera de créditos reestructurada vencida</v>
      </c>
      <c r="D1366" s="37">
        <f>+D571</f>
        <v>0</v>
      </c>
      <c r="E1366" s="37">
        <f>+E571</f>
        <v>0</v>
      </c>
      <c r="F1366" s="37">
        <f>+F571</f>
        <v>0</v>
      </c>
      <c r="G1366" s="37">
        <f>+G571</f>
        <v>0</v>
      </c>
      <c r="H1366" s="37">
        <f>+H571</f>
        <v>0</v>
      </c>
      <c r="I1366" s="37">
        <f>+I571</f>
        <v>0</v>
      </c>
      <c r="J1366" s="37">
        <f>+J571</f>
        <v>0</v>
      </c>
      <c r="K1366" s="37">
        <f>+K571</f>
        <v>0</v>
      </c>
    </row>
    <row r="1367" spans="1:11" ht="15" x14ac:dyDescent="0.25">
      <c r="A1367" s="15">
        <v>1449</v>
      </c>
      <c r="C1367" s="36" t="s">
        <v>647</v>
      </c>
      <c r="D1367" s="41">
        <f>SUM(D1359:D1366)</f>
        <v>6784.7742099999996</v>
      </c>
      <c r="E1367" s="41">
        <f t="shared" ref="E1367:K1367" si="154">SUM(E1359:E1366)</f>
        <v>6784.7742099999996</v>
      </c>
      <c r="F1367" s="41">
        <f t="shared" si="154"/>
        <v>-10967.09518</v>
      </c>
      <c r="G1367" s="41">
        <f>SUM(G1359:G1366)</f>
        <v>42581.225549999988</v>
      </c>
      <c r="H1367" s="41">
        <f t="shared" si="154"/>
        <v>-474.7583200000081</v>
      </c>
      <c r="I1367" s="41">
        <f t="shared" si="154"/>
        <v>31139.372050000005</v>
      </c>
      <c r="J1367" s="41">
        <f t="shared" si="154"/>
        <v>37924.14625999998</v>
      </c>
      <c r="K1367" s="41">
        <f t="shared" si="154"/>
        <v>15766.67353</v>
      </c>
    </row>
    <row r="1368" spans="1:11" x14ac:dyDescent="0.2">
      <c r="A1368" s="15">
        <v>1450</v>
      </c>
      <c r="B1368" s="11">
        <v>3</v>
      </c>
      <c r="C1368" s="11" t="s">
        <v>427</v>
      </c>
      <c r="D1368" s="37">
        <f>+D839</f>
        <v>82054.717470000003</v>
      </c>
      <c r="E1368" s="37">
        <f>+E839</f>
        <v>82054.717470000003</v>
      </c>
      <c r="F1368" s="37">
        <f>+F839</f>
        <v>411672.34602</v>
      </c>
      <c r="G1368" s="37">
        <f>+G839</f>
        <v>414246.40025000001</v>
      </c>
      <c r="H1368" s="37">
        <f>+H839</f>
        <v>819897.06710999995</v>
      </c>
      <c r="I1368" s="37">
        <f>+I839</f>
        <v>1645815.8133799999</v>
      </c>
      <c r="J1368" s="37">
        <f>+J839</f>
        <v>1727870.53085</v>
      </c>
      <c r="K1368" s="37">
        <f>+K839</f>
        <v>363639.52811999997</v>
      </c>
    </row>
    <row r="1369" spans="1:11" x14ac:dyDescent="0.2">
      <c r="A1369" s="15">
        <v>1451</v>
      </c>
      <c r="B1369" s="11" t="s">
        <v>625</v>
      </c>
      <c r="C1369" s="11" t="s">
        <v>648</v>
      </c>
      <c r="D1369" s="37">
        <f>+D843-D619</f>
        <v>-5417.6589999999997</v>
      </c>
      <c r="E1369" s="37">
        <f>+E843-E619</f>
        <v>-5417.6589999999997</v>
      </c>
      <c r="F1369" s="37">
        <f>+F843-F619</f>
        <v>36275.517439999996</v>
      </c>
      <c r="G1369" s="37">
        <f>+G843-G619</f>
        <v>-11016.225550000003</v>
      </c>
      <c r="H1369" s="37">
        <f>+H843-H619</f>
        <v>67075.481349999987</v>
      </c>
      <c r="I1369" s="37">
        <f>+I843-I619</f>
        <v>92334.773239999951</v>
      </c>
      <c r="J1369" s="37">
        <f>+J843-J619</f>
        <v>86917.114239999966</v>
      </c>
      <c r="K1369" s="37">
        <f>+K843-K619</f>
        <v>4469.0895900000014</v>
      </c>
    </row>
    <row r="1370" spans="1:11" ht="15" x14ac:dyDescent="0.25">
      <c r="A1370" s="15">
        <v>1452</v>
      </c>
      <c r="C1370" s="36" t="s">
        <v>649</v>
      </c>
      <c r="D1370" s="41">
        <f>+D1368+D1369</f>
        <v>76637.058470000004</v>
      </c>
      <c r="E1370" s="41">
        <f t="shared" ref="E1370:K1370" si="155">+E1368+E1369</f>
        <v>76637.058470000004</v>
      </c>
      <c r="F1370" s="41">
        <f t="shared" si="155"/>
        <v>447947.86346000002</v>
      </c>
      <c r="G1370" s="41">
        <f t="shared" si="155"/>
        <v>403230.17469999997</v>
      </c>
      <c r="H1370" s="41">
        <f t="shared" si="155"/>
        <v>886972.54845999996</v>
      </c>
      <c r="I1370" s="41">
        <f t="shared" si="155"/>
        <v>1738150.58662</v>
      </c>
      <c r="J1370" s="41">
        <f t="shared" si="155"/>
        <v>1814787.64509</v>
      </c>
      <c r="K1370" s="41">
        <f t="shared" si="155"/>
        <v>368108.61770999996</v>
      </c>
    </row>
    <row r="1371" spans="1:11" x14ac:dyDescent="0.2">
      <c r="A1371" s="15">
        <v>1453</v>
      </c>
      <c r="D1371" s="37"/>
      <c r="E1371" s="37"/>
      <c r="F1371" s="37"/>
      <c r="G1371" s="37"/>
      <c r="H1371" s="37"/>
      <c r="I1371" s="37"/>
      <c r="J1371" s="37"/>
      <c r="K1371" s="37"/>
    </row>
    <row r="1372" spans="1:11" ht="15" x14ac:dyDescent="0.25">
      <c r="A1372" s="15">
        <v>1454</v>
      </c>
      <c r="C1372" s="36" t="s">
        <v>650</v>
      </c>
      <c r="D1372" s="37">
        <f>(D1367/D1370)*100</f>
        <v>8.8531245137180434</v>
      </c>
      <c r="E1372" s="37">
        <f t="shared" ref="E1372:K1372" si="156">(E1367/E1370)*100</f>
        <v>8.8531245137180434</v>
      </c>
      <c r="F1372" s="37">
        <f t="shared" si="156"/>
        <v>-2.4482972405067223</v>
      </c>
      <c r="G1372" s="37">
        <f t="shared" si="156"/>
        <v>10.560029536896657</v>
      </c>
      <c r="H1372" s="37">
        <f t="shared" si="156"/>
        <v>-5.3525706159035472E-2</v>
      </c>
      <c r="I1372" s="37">
        <f t="shared" si="156"/>
        <v>1.7915232598202837</v>
      </c>
      <c r="J1372" s="37">
        <f t="shared" si="156"/>
        <v>2.0897291406300722</v>
      </c>
      <c r="K1372" s="37">
        <f t="shared" si="156"/>
        <v>4.283157951607957</v>
      </c>
    </row>
    <row r="1373" spans="1:11" ht="15" x14ac:dyDescent="0.25">
      <c r="A1373" s="15">
        <v>1455</v>
      </c>
      <c r="C1373" s="36" t="s">
        <v>651</v>
      </c>
      <c r="D1373" s="37">
        <f>(D1367/D1368)*100</f>
        <v>8.2685973691647643</v>
      </c>
      <c r="E1373" s="37">
        <f t="shared" ref="E1373:K1373" si="157">(E1367/E1368)*100</f>
        <v>8.2685973691647643</v>
      </c>
      <c r="F1373" s="37">
        <f t="shared" si="157"/>
        <v>-2.664034950617546</v>
      </c>
      <c r="G1373" s="37">
        <f t="shared" si="157"/>
        <v>10.279202311547422</v>
      </c>
      <c r="H1373" s="37">
        <f t="shared" si="157"/>
        <v>-5.7904624744353796E-2</v>
      </c>
      <c r="I1373" s="37">
        <f t="shared" si="157"/>
        <v>1.8920326197406807</v>
      </c>
      <c r="J1373" s="37">
        <f t="shared" si="157"/>
        <v>2.1948488375077364</v>
      </c>
      <c r="K1373" s="37">
        <f t="shared" si="157"/>
        <v>4.335797489209436</v>
      </c>
    </row>
    <row r="1374" spans="1:11" x14ac:dyDescent="0.2">
      <c r="A1374" s="15">
        <v>1456</v>
      </c>
      <c r="D1374" s="37"/>
      <c r="E1374" s="37"/>
      <c r="F1374" s="37"/>
      <c r="G1374" s="37"/>
      <c r="H1374" s="37"/>
      <c r="I1374" s="37"/>
      <c r="J1374" s="37"/>
      <c r="K1374" s="37"/>
    </row>
    <row r="1375" spans="1:11" ht="15" x14ac:dyDescent="0.25">
      <c r="A1375" s="15">
        <v>1457</v>
      </c>
      <c r="C1375" s="49" t="s">
        <v>652</v>
      </c>
      <c r="D1375" s="37"/>
      <c r="E1375" s="37"/>
      <c r="F1375" s="37"/>
      <c r="G1375" s="37"/>
      <c r="H1375" s="37"/>
      <c r="I1375" s="37"/>
      <c r="J1375" s="37"/>
      <c r="K1375" s="37"/>
    </row>
    <row r="1376" spans="1:11" x14ac:dyDescent="0.2">
      <c r="A1376" s="15">
        <v>1458</v>
      </c>
      <c r="C1376" s="2" t="s">
        <v>653</v>
      </c>
      <c r="D1376" s="37" t="e">
        <f>(VLOOKUP(D7,#REF!,2,FALSE))/1000</f>
        <v>#REF!</v>
      </c>
      <c r="E1376" s="37" t="e">
        <f>+D1376</f>
        <v>#REF!</v>
      </c>
      <c r="F1376" s="37" t="e">
        <f>VLOOKUP(F7,#REF!,2,FALSE)/1000</f>
        <v>#REF!</v>
      </c>
      <c r="G1376" s="37" t="e">
        <f>VLOOKUP(G7,#REF!,2,FALSE)/1000</f>
        <v>#REF!</v>
      </c>
      <c r="H1376" s="37" t="e">
        <f>VLOOKUP(H7,#REF!,2,FALSE)/1000</f>
        <v>#REF!</v>
      </c>
      <c r="I1376" s="37" t="e">
        <f>+F1376+G1376+H1376</f>
        <v>#REF!</v>
      </c>
      <c r="J1376" s="37" t="e">
        <f>+E1376+I1376</f>
        <v>#REF!</v>
      </c>
      <c r="K1376" s="37">
        <v>0</v>
      </c>
    </row>
    <row r="1377" spans="1:11" x14ac:dyDescent="0.2">
      <c r="A1377" s="15">
        <v>1459</v>
      </c>
      <c r="C1377" s="2" t="s">
        <v>654</v>
      </c>
      <c r="D1377" s="37" t="e">
        <f>(VLOOKUP(D7,#REF!,4,FALSE))/1000</f>
        <v>#REF!</v>
      </c>
      <c r="E1377" s="37" t="e">
        <f>+D1377</f>
        <v>#REF!</v>
      </c>
      <c r="F1377" s="37" t="e">
        <f>VLOOKUP(F7,#REF!,4,FALSE)/1000</f>
        <v>#REF!</v>
      </c>
      <c r="G1377" s="37" t="e">
        <f>VLOOKUP(G7,#REF!,4,FALSE)/1000</f>
        <v>#REF!</v>
      </c>
      <c r="H1377" s="37" t="e">
        <f>VLOOKUP(H7,#REF!,4,FALSE)/1000</f>
        <v>#REF!</v>
      </c>
      <c r="I1377" s="37" t="e">
        <f>+F1377+G1377+H1377</f>
        <v>#REF!</v>
      </c>
      <c r="J1377" s="37" t="e">
        <f>+E1377+I1377</f>
        <v>#REF!</v>
      </c>
      <c r="K1377" s="37">
        <v>0</v>
      </c>
    </row>
    <row r="1378" spans="1:11" x14ac:dyDescent="0.2">
      <c r="A1378" s="15">
        <v>1460</v>
      </c>
    </row>
    <row r="1379" spans="1:11" x14ac:dyDescent="0.2">
      <c r="A1379" s="15">
        <v>1475</v>
      </c>
    </row>
    <row r="1380" spans="1:11" x14ac:dyDescent="0.2">
      <c r="A1380" s="15">
        <v>1476</v>
      </c>
    </row>
    <row r="1381" spans="1:11" x14ac:dyDescent="0.2">
      <c r="A1381" s="15">
        <v>1477</v>
      </c>
    </row>
    <row r="1382" spans="1:11" x14ac:dyDescent="0.2">
      <c r="A1382" s="15">
        <v>1478</v>
      </c>
    </row>
    <row r="1383" spans="1:11" x14ac:dyDescent="0.2">
      <c r="A1383" s="15">
        <v>1479</v>
      </c>
    </row>
    <row r="1384" spans="1:11" x14ac:dyDescent="0.2">
      <c r="A1384" s="15">
        <v>1480</v>
      </c>
    </row>
    <row r="1385" spans="1:11" x14ac:dyDescent="0.2">
      <c r="A1385" s="15">
        <v>1481</v>
      </c>
    </row>
    <row r="1386" spans="1:11" x14ac:dyDescent="0.2">
      <c r="A1386" s="15">
        <v>1482</v>
      </c>
    </row>
    <row r="1387" spans="1:11" x14ac:dyDescent="0.2">
      <c r="A1387" s="15">
        <v>1483</v>
      </c>
    </row>
    <row r="1388" spans="1:11" x14ac:dyDescent="0.2">
      <c r="A1388" s="15">
        <v>1484</v>
      </c>
    </row>
    <row r="1389" spans="1:11" x14ac:dyDescent="0.2">
      <c r="A1389" s="15">
        <v>1485</v>
      </c>
    </row>
    <row r="1390" spans="1:11" x14ac:dyDescent="0.2">
      <c r="A1390" s="15">
        <v>1486</v>
      </c>
    </row>
    <row r="1391" spans="1:11" x14ac:dyDescent="0.2">
      <c r="A1391" s="15">
        <v>1487</v>
      </c>
    </row>
    <row r="1392" spans="1:11" x14ac:dyDescent="0.2">
      <c r="A1392" s="15">
        <v>1488</v>
      </c>
    </row>
    <row r="1393" spans="1:1" x14ac:dyDescent="0.2">
      <c r="A1393" s="15">
        <v>1489</v>
      </c>
    </row>
    <row r="1394" spans="1:1" x14ac:dyDescent="0.2">
      <c r="A1394" s="15">
        <v>1490</v>
      </c>
    </row>
    <row r="1395" spans="1:1" x14ac:dyDescent="0.2">
      <c r="A1395" s="15">
        <v>1491</v>
      </c>
    </row>
    <row r="1396" spans="1:1" x14ac:dyDescent="0.2">
      <c r="A1396" s="15">
        <v>1492</v>
      </c>
    </row>
    <row r="1397" spans="1:1" x14ac:dyDescent="0.2">
      <c r="A1397" s="15">
        <v>1493</v>
      </c>
    </row>
    <row r="1398" spans="1:1" x14ac:dyDescent="0.2">
      <c r="A1398" s="15">
        <v>1494</v>
      </c>
    </row>
    <row r="1399" spans="1:1" x14ac:dyDescent="0.2">
      <c r="A1399" s="15">
        <v>1495</v>
      </c>
    </row>
    <row r="1400" spans="1:1" x14ac:dyDescent="0.2">
      <c r="A1400" s="15">
        <v>1496</v>
      </c>
    </row>
    <row r="1401" spans="1:1" x14ac:dyDescent="0.2">
      <c r="A1401" s="15">
        <v>1497</v>
      </c>
    </row>
    <row r="1402" spans="1:1" x14ac:dyDescent="0.2">
      <c r="A1402" s="15">
        <v>1498</v>
      </c>
    </row>
    <row r="1403" spans="1:1" x14ac:dyDescent="0.2">
      <c r="A1403" s="15">
        <v>1499</v>
      </c>
    </row>
    <row r="1404" spans="1:1" x14ac:dyDescent="0.2">
      <c r="A1404" s="15">
        <v>1500</v>
      </c>
    </row>
    <row r="1405" spans="1:1" x14ac:dyDescent="0.2">
      <c r="A1405" s="15">
        <v>1501</v>
      </c>
    </row>
    <row r="1406" spans="1:1" x14ac:dyDescent="0.2">
      <c r="A1406" s="15">
        <v>1502</v>
      </c>
    </row>
    <row r="1407" spans="1:1" x14ac:dyDescent="0.2">
      <c r="A1407" s="15">
        <v>1503</v>
      </c>
    </row>
    <row r="1408" spans="1:1" x14ac:dyDescent="0.2">
      <c r="A1408" s="15">
        <v>1504</v>
      </c>
    </row>
    <row r="1409" spans="1:1" x14ac:dyDescent="0.2">
      <c r="A1409" s="15">
        <v>1505</v>
      </c>
    </row>
    <row r="1410" spans="1:1" x14ac:dyDescent="0.2">
      <c r="A1410" s="15">
        <v>1506</v>
      </c>
    </row>
    <row r="1411" spans="1:1" x14ac:dyDescent="0.2">
      <c r="A1411" s="15">
        <v>1507</v>
      </c>
    </row>
    <row r="1412" spans="1:1" x14ac:dyDescent="0.2">
      <c r="A1412" s="15">
        <v>1508</v>
      </c>
    </row>
    <row r="1413" spans="1:1" x14ac:dyDescent="0.2">
      <c r="A1413" s="15">
        <v>1509</v>
      </c>
    </row>
    <row r="1414" spans="1:1" x14ac:dyDescent="0.2">
      <c r="A1414" s="15">
        <v>1510</v>
      </c>
    </row>
    <row r="1415" spans="1:1" x14ac:dyDescent="0.2">
      <c r="A1415" s="15">
        <v>1511</v>
      </c>
    </row>
    <row r="1416" spans="1:1" x14ac:dyDescent="0.2">
      <c r="A1416" s="15">
        <v>1512</v>
      </c>
    </row>
    <row r="1417" spans="1:1" x14ac:dyDescent="0.2">
      <c r="A1417" s="15">
        <v>1513</v>
      </c>
    </row>
    <row r="1418" spans="1:1" x14ac:dyDescent="0.2">
      <c r="A1418" s="15">
        <v>1514</v>
      </c>
    </row>
    <row r="1419" spans="1:1" x14ac:dyDescent="0.2">
      <c r="A1419" s="15">
        <v>1515</v>
      </c>
    </row>
    <row r="1420" spans="1:1" x14ac:dyDescent="0.2">
      <c r="A1420" s="15">
        <v>1516</v>
      </c>
    </row>
    <row r="1421" spans="1:1" x14ac:dyDescent="0.2">
      <c r="A1421" s="15">
        <v>1517</v>
      </c>
    </row>
    <row r="1422" spans="1:1" x14ac:dyDescent="0.2">
      <c r="A1422" s="15">
        <v>1518</v>
      </c>
    </row>
  </sheetData>
  <hyperlinks>
    <hyperlink ref="B1108" r:id="rId1" display="cagarcia@superban.gov.ec"/>
    <hyperlink ref="B1109" r:id="rId2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16" customFormat="1" ht="15" x14ac:dyDescent="0.25">
      <c r="B1" s="4" t="s">
        <v>761</v>
      </c>
      <c r="C1" s="54"/>
      <c r="D1" s="72"/>
      <c r="E1" s="72"/>
      <c r="F1" s="72"/>
      <c r="G1" s="72"/>
      <c r="H1" s="72"/>
      <c r="I1" s="72"/>
      <c r="J1" s="72"/>
      <c r="K1" s="72"/>
      <c r="L1" s="115"/>
    </row>
    <row r="2" spans="2:12" s="116" customFormat="1" ht="15" x14ac:dyDescent="0.25">
      <c r="B2" s="4" t="str">
        <f>BALANCE!B3</f>
        <v>SISTEMA DE BANCA PUBLICA</v>
      </c>
      <c r="C2" s="54"/>
      <c r="D2" s="72"/>
      <c r="E2" s="72"/>
      <c r="F2" s="72"/>
      <c r="G2" s="72"/>
      <c r="H2" s="72"/>
      <c r="I2" s="72"/>
      <c r="J2" s="72"/>
      <c r="K2" s="72"/>
      <c r="L2" s="115"/>
    </row>
    <row r="3" spans="2:12" s="116" customFormat="1" ht="15" x14ac:dyDescent="0.25">
      <c r="B3" s="117">
        <f>BALANCE!B4</f>
        <v>41182</v>
      </c>
      <c r="C3" s="54"/>
      <c r="D3" s="72"/>
      <c r="E3" s="72"/>
      <c r="F3" s="72"/>
      <c r="G3" s="72"/>
      <c r="H3" s="72"/>
      <c r="I3" s="72"/>
      <c r="J3" s="72"/>
      <c r="K3" s="72"/>
      <c r="L3" s="115"/>
    </row>
    <row r="4" spans="2:12" s="116" customFormat="1" ht="15" x14ac:dyDescent="0.25">
      <c r="B4" s="4" t="s">
        <v>782</v>
      </c>
      <c r="C4" s="54"/>
      <c r="D4" s="72"/>
      <c r="E4" s="72"/>
      <c r="F4" s="72"/>
      <c r="G4" s="72"/>
      <c r="H4" s="72"/>
      <c r="I4" s="72"/>
      <c r="J4" s="72"/>
      <c r="K4" s="72"/>
      <c r="L4" s="115"/>
    </row>
    <row r="5" spans="2:12" s="116" customFormat="1" ht="15" x14ac:dyDescent="0.25">
      <c r="B5" s="54"/>
      <c r="C5" s="54"/>
      <c r="D5" s="72"/>
      <c r="E5" s="72"/>
      <c r="F5" s="72"/>
      <c r="G5" s="72"/>
      <c r="H5" s="72"/>
      <c r="I5" s="72"/>
      <c r="J5" s="72"/>
      <c r="K5" s="72"/>
      <c r="L5" s="115"/>
    </row>
    <row r="6" spans="2:12" s="19" customFormat="1" ht="45" x14ac:dyDescent="0.25">
      <c r="B6" s="16" t="s">
        <v>3</v>
      </c>
      <c r="C6" s="17" t="s">
        <v>4</v>
      </c>
      <c r="D6" s="18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18" t="s">
        <v>10</v>
      </c>
      <c r="J6" s="18" t="s">
        <v>11</v>
      </c>
      <c r="K6" s="58" t="s">
        <v>12</v>
      </c>
      <c r="L6" s="118"/>
    </row>
    <row r="7" spans="2:12" x14ac:dyDescent="0.2">
      <c r="B7" s="74"/>
      <c r="C7" s="62"/>
      <c r="D7" s="62"/>
      <c r="E7" s="62"/>
      <c r="F7" s="62"/>
      <c r="G7" s="62"/>
      <c r="H7" s="62"/>
      <c r="I7" s="62"/>
      <c r="J7" s="62"/>
      <c r="K7" s="63"/>
    </row>
    <row r="8" spans="2:12" ht="15" x14ac:dyDescent="0.25">
      <c r="B8" s="20"/>
      <c r="C8" s="24" t="s">
        <v>754</v>
      </c>
      <c r="D8" s="124">
        <f>('COMPOS CART'!D8/'COMPOS CART'!D$8)*100</f>
        <v>100</v>
      </c>
      <c r="E8" s="124">
        <f>('COMPOS CART'!E8/'COMPOS CART'!E$8)*100</f>
        <v>100</v>
      </c>
      <c r="F8" s="124">
        <f>('COMPOS CART'!F8/'COMPOS CART'!F$8)*100</f>
        <v>100</v>
      </c>
      <c r="G8" s="124">
        <f>('COMPOS CART'!G8/'COMPOS CART'!G$8)*100</f>
        <v>100</v>
      </c>
      <c r="H8" s="124">
        <f>('COMPOS CART'!H8/'COMPOS CART'!H$8)*100</f>
        <v>100</v>
      </c>
      <c r="I8" s="124">
        <f>('COMPOS CART'!I8/'COMPOS CART'!I$8)*100</f>
        <v>100</v>
      </c>
      <c r="J8" s="124">
        <f>('COMPOS CART'!J8/'COMPOS CART'!J$8)*100</f>
        <v>100</v>
      </c>
      <c r="K8" s="125">
        <f>('COMPOS CART'!K8/'COMPOS CART'!K$8)*100</f>
        <v>100</v>
      </c>
    </row>
    <row r="9" spans="2:12" x14ac:dyDescent="0.2">
      <c r="B9" s="20"/>
      <c r="C9" s="21"/>
      <c r="D9" s="104"/>
      <c r="E9" s="104"/>
      <c r="F9" s="104"/>
      <c r="G9" s="104"/>
      <c r="H9" s="104"/>
      <c r="I9" s="104"/>
      <c r="J9" s="104"/>
      <c r="K9" s="105"/>
    </row>
    <row r="10" spans="2:12" x14ac:dyDescent="0.2">
      <c r="B10" s="20">
        <f>+BALANCE!B87</f>
        <v>1401</v>
      </c>
      <c r="C10" s="21" t="str">
        <f>+BALANCE!C87</f>
        <v>Cartera de créditos comercial por vencer</v>
      </c>
      <c r="D10" s="104">
        <f>('COMPOS CART'!D10/'COMPOS CART'!D$8)*100</f>
        <v>78.835480586856022</v>
      </c>
      <c r="E10" s="104">
        <f>('COMPOS CART'!E10/'COMPOS CART'!E$8)*100</f>
        <v>78.835480586856022</v>
      </c>
      <c r="F10" s="104">
        <f>('COMPOS CART'!F10/'COMPOS CART'!F$8)*100</f>
        <v>0</v>
      </c>
      <c r="G10" s="104">
        <f>('COMPOS CART'!G10/'COMPOS CART'!G$8)*100</f>
        <v>52.326389392197768</v>
      </c>
      <c r="H10" s="104">
        <f>('COMPOS CART'!H10/'COMPOS CART'!H$8)*100</f>
        <v>90.787466413912043</v>
      </c>
      <c r="I10" s="104">
        <f>('COMPOS CART'!I10/'COMPOS CART'!I$8)*100</f>
        <v>51.152391068137085</v>
      </c>
      <c r="J10" s="104">
        <f>('COMPOS CART'!J10/'COMPOS CART'!J$8)*100</f>
        <v>52.753912158831618</v>
      </c>
      <c r="K10" s="105">
        <f>('COMPOS CART'!K10/'COMPOS CART'!K$8)*100</f>
        <v>0</v>
      </c>
    </row>
    <row r="11" spans="2:12" x14ac:dyDescent="0.2">
      <c r="B11" s="20">
        <f>+BALANCE!B93</f>
        <v>1402</v>
      </c>
      <c r="C11" s="21" t="str">
        <f>+BALANCE!C93</f>
        <v>Cartera de créditos de consumo por vencer</v>
      </c>
      <c r="D11" s="104">
        <f>('COMPOS CART'!D11/'COMPOS CART'!D$8)*100</f>
        <v>0</v>
      </c>
      <c r="E11" s="104">
        <f>('COMPOS CART'!E11/'COMPOS CART'!E$8)*100</f>
        <v>0</v>
      </c>
      <c r="F11" s="104">
        <f>('COMPOS CART'!F11/'COMPOS CART'!F$8)*100</f>
        <v>0</v>
      </c>
      <c r="G11" s="104">
        <f>('COMPOS CART'!G11/'COMPOS CART'!G$8)*100</f>
        <v>2.906993574925993</v>
      </c>
      <c r="H11" s="104">
        <f>('COMPOS CART'!H11/'COMPOS CART'!H$8)*100</f>
        <v>0</v>
      </c>
      <c r="I11" s="104">
        <f>('COMPOS CART'!I11/'COMPOS CART'!I$8)*100</f>
        <v>0.87596676862119016</v>
      </c>
      <c r="J11" s="104">
        <f>('COMPOS CART'!J11/'COMPOS CART'!J$8)*100</f>
        <v>0.82529037089665991</v>
      </c>
      <c r="K11" s="105">
        <f>('COMPOS CART'!K11/'COMPOS CART'!K$8)*100</f>
        <v>0</v>
      </c>
    </row>
    <row r="12" spans="2:12" x14ac:dyDescent="0.2">
      <c r="B12" s="20">
        <f>+BALANCE!B99</f>
        <v>1403</v>
      </c>
      <c r="C12" s="21" t="str">
        <f>+BALANCE!C99</f>
        <v>Cartera de créditos de vivienda por vencer</v>
      </c>
      <c r="D12" s="104">
        <f>('COMPOS CART'!D12/'COMPOS CART'!D$8)*100</f>
        <v>6.2194724081201</v>
      </c>
      <c r="E12" s="104">
        <f>('COMPOS CART'!E12/'COMPOS CART'!E$8)*100</f>
        <v>6.2194724081201</v>
      </c>
      <c r="F12" s="104">
        <f>('COMPOS CART'!F12/'COMPOS CART'!F$8)*100</f>
        <v>0</v>
      </c>
      <c r="G12" s="104">
        <f>('COMPOS CART'!G12/'COMPOS CART'!G$8)*100</f>
        <v>0</v>
      </c>
      <c r="H12" s="104">
        <f>('COMPOS CART'!H12/'COMPOS CART'!H$8)*100</f>
        <v>0</v>
      </c>
      <c r="I12" s="104">
        <f>('COMPOS CART'!I12/'COMPOS CART'!I$8)*100</f>
        <v>0</v>
      </c>
      <c r="J12" s="104">
        <f>('COMPOS CART'!J12/'COMPOS CART'!J$8)*100</f>
        <v>0.35980869215705946</v>
      </c>
      <c r="K12" s="105">
        <f>('COMPOS CART'!K12/'COMPOS CART'!K$8)*100</f>
        <v>0</v>
      </c>
    </row>
    <row r="13" spans="2:12" x14ac:dyDescent="0.2">
      <c r="B13" s="20">
        <f>+BALANCE!B105</f>
        <v>1404</v>
      </c>
      <c r="C13" s="21" t="str">
        <f>+BALANCE!C105</f>
        <v>Cartera de créditos para la microempresa por vencer</v>
      </c>
      <c r="D13" s="104">
        <f>('COMPOS CART'!D13/'COMPOS CART'!D$8)*100</f>
        <v>0</v>
      </c>
      <c r="E13" s="104">
        <f>('COMPOS CART'!E13/'COMPOS CART'!E$8)*100</f>
        <v>0</v>
      </c>
      <c r="F13" s="104">
        <f>('COMPOS CART'!F13/'COMPOS CART'!F$8)*100</f>
        <v>0</v>
      </c>
      <c r="G13" s="104">
        <f>('COMPOS CART'!G13/'COMPOS CART'!G$8)*100</f>
        <v>27.050805287349348</v>
      </c>
      <c r="H13" s="104">
        <f>('COMPOS CART'!H13/'COMPOS CART'!H$8)*100</f>
        <v>2.2353477698594362</v>
      </c>
      <c r="I13" s="104">
        <f>('COMPOS CART'!I13/'COMPOS CART'!I$8)*100</f>
        <v>9.0224786248359141</v>
      </c>
      <c r="J13" s="104">
        <f>('COMPOS CART'!J13/'COMPOS CART'!J$8)*100</f>
        <v>8.5005105187022156</v>
      </c>
      <c r="K13" s="105">
        <f>('COMPOS CART'!K13/'COMPOS CART'!K$8)*100</f>
        <v>0</v>
      </c>
    </row>
    <row r="14" spans="2:12" x14ac:dyDescent="0.2">
      <c r="B14" s="20">
        <f>+BALANCE!B111</f>
        <v>1405</v>
      </c>
      <c r="C14" s="21" t="str">
        <f>+BALANCE!C111</f>
        <v>Cartera de crédito educativo por vencer</v>
      </c>
      <c r="D14" s="104">
        <f>('COMPOS CART'!D14/'COMPOS CART'!D$8)*100</f>
        <v>0</v>
      </c>
      <c r="E14" s="104">
        <f>('COMPOS CART'!E14/'COMPOS CART'!E$8)*100</f>
        <v>0</v>
      </c>
      <c r="F14" s="104">
        <f>('COMPOS CART'!F14/'COMPOS CART'!F$8)*100</f>
        <v>0</v>
      </c>
      <c r="G14" s="104">
        <f>('COMPOS CART'!G14/'COMPOS CART'!G$8)*100</f>
        <v>0</v>
      </c>
      <c r="H14" s="104">
        <f>('COMPOS CART'!H14/'COMPOS CART'!H$8)*100</f>
        <v>0</v>
      </c>
      <c r="I14" s="104">
        <f>('COMPOS CART'!I14/'COMPOS CART'!I$8)*100</f>
        <v>0</v>
      </c>
      <c r="J14" s="104">
        <f>('COMPOS CART'!J14/'COMPOS CART'!J$8)*100</f>
        <v>0</v>
      </c>
      <c r="K14" s="105">
        <f>('COMPOS CART'!K14/'COMPOS CART'!K$8)*100</f>
        <v>89.487377827919474</v>
      </c>
    </row>
    <row r="15" spans="2:12" x14ac:dyDescent="0.2">
      <c r="B15" s="20">
        <f>+BALANCE!B117</f>
        <v>1406</v>
      </c>
      <c r="C15" s="21" t="str">
        <f>+BALANCE!C117</f>
        <v>Cartera de créditos de inversión pública por vencer</v>
      </c>
      <c r="D15" s="104">
        <f>('COMPOS CART'!D15/'COMPOS CART'!D$8)*100</f>
        <v>0</v>
      </c>
      <c r="E15" s="104">
        <f>('COMPOS CART'!E15/'COMPOS CART'!E$8)*100</f>
        <v>0</v>
      </c>
      <c r="F15" s="104">
        <f>('COMPOS CART'!F15/'COMPOS CART'!F$8)*100</f>
        <v>99.977775908335985</v>
      </c>
      <c r="G15" s="104">
        <f>('COMPOS CART'!G15/'COMPOS CART'!G$8)*100</f>
        <v>0</v>
      </c>
      <c r="H15" s="104">
        <f>('COMPOS CART'!H15/'COMPOS CART'!H$8)*100</f>
        <v>0</v>
      </c>
      <c r="I15" s="104">
        <f>('COMPOS CART'!I15/'COMPOS CART'!I$8)*100</f>
        <v>30.884587442264859</v>
      </c>
      <c r="J15" s="104">
        <f>('COMPOS CART'!J15/'COMPOS CART'!J$8)*100</f>
        <v>29.097853409824548</v>
      </c>
      <c r="K15" s="105">
        <f>('COMPOS CART'!K15/'COMPOS CART'!K$8)*100</f>
        <v>0</v>
      </c>
    </row>
    <row r="16" spans="2:12" x14ac:dyDescent="0.2">
      <c r="B16" s="20">
        <f>+BALANCE!B123</f>
        <v>1409</v>
      </c>
      <c r="C16" s="21" t="str">
        <f>+BALANCE!C123</f>
        <v>Cartera de créditos comercial refinanciada por vencer</v>
      </c>
      <c r="D16" s="104">
        <f>('COMPOS CART'!D16/'COMPOS CART'!D$8)*100</f>
        <v>0.40112267683974978</v>
      </c>
      <c r="E16" s="104">
        <f>('COMPOS CART'!E16/'COMPOS CART'!E$8)*100</f>
        <v>0.40112267683974978</v>
      </c>
      <c r="F16" s="104">
        <f>('COMPOS CART'!F16/'COMPOS CART'!F$8)*100</f>
        <v>0</v>
      </c>
      <c r="G16" s="104">
        <f>('COMPOS CART'!G16/'COMPOS CART'!G$8)*100</f>
        <v>0</v>
      </c>
      <c r="H16" s="104">
        <f>('COMPOS CART'!H16/'COMPOS CART'!H$8)*100</f>
        <v>0</v>
      </c>
      <c r="I16" s="104">
        <f>('COMPOS CART'!I16/'COMPOS CART'!I$8)*100</f>
        <v>0</v>
      </c>
      <c r="J16" s="104">
        <f>('COMPOS CART'!J16/'COMPOS CART'!J$8)*100</f>
        <v>2.3205734550701806E-2</v>
      </c>
      <c r="K16" s="105">
        <f>('COMPOS CART'!K16/'COMPOS CART'!K$8)*100</f>
        <v>0</v>
      </c>
    </row>
    <row r="17" spans="2:11" x14ac:dyDescent="0.2">
      <c r="B17" s="20">
        <f>+BALANCE!B129</f>
        <v>1410</v>
      </c>
      <c r="C17" s="21" t="str">
        <f>+BALANCE!C129</f>
        <v>Cartera de créditos de consumo refinanciada por vencer</v>
      </c>
      <c r="D17" s="104">
        <f>('COMPOS CART'!D17/'COMPOS CART'!D$8)*100</f>
        <v>0</v>
      </c>
      <c r="E17" s="104">
        <f>('COMPOS CART'!E17/'COMPOS CART'!E$8)*100</f>
        <v>0</v>
      </c>
      <c r="F17" s="104">
        <f>('COMPOS CART'!F17/'COMPOS CART'!F$8)*100</f>
        <v>0</v>
      </c>
      <c r="G17" s="104">
        <f>('COMPOS CART'!G17/'COMPOS CART'!G$8)*100</f>
        <v>0</v>
      </c>
      <c r="H17" s="104">
        <f>('COMPOS CART'!H17/'COMPOS CART'!H$8)*100</f>
        <v>0</v>
      </c>
      <c r="I17" s="104">
        <f>('COMPOS CART'!I17/'COMPOS CART'!I$8)*100</f>
        <v>0</v>
      </c>
      <c r="J17" s="104">
        <f>('COMPOS CART'!J17/'COMPOS CART'!J$8)*100</f>
        <v>0</v>
      </c>
      <c r="K17" s="105">
        <f>('COMPOS CART'!K17/'COMPOS CART'!K$8)*100</f>
        <v>0</v>
      </c>
    </row>
    <row r="18" spans="2:11" x14ac:dyDescent="0.2">
      <c r="B18" s="20">
        <f>+BALANCE!B135</f>
        <v>1411</v>
      </c>
      <c r="C18" s="21" t="str">
        <f>+BALANCE!C135</f>
        <v>Cartera de créditos de vivienda refinanciada por vencer</v>
      </c>
      <c r="D18" s="104">
        <f>('COMPOS CART'!D18/'COMPOS CART'!D$8)*100</f>
        <v>0</v>
      </c>
      <c r="E18" s="104">
        <f>('COMPOS CART'!E18/'COMPOS CART'!E$8)*100</f>
        <v>0</v>
      </c>
      <c r="F18" s="104">
        <f>('COMPOS CART'!F18/'COMPOS CART'!F$8)*100</f>
        <v>0</v>
      </c>
      <c r="G18" s="104">
        <f>('COMPOS CART'!G18/'COMPOS CART'!G$8)*100</f>
        <v>0</v>
      </c>
      <c r="H18" s="104">
        <f>('COMPOS CART'!H18/'COMPOS CART'!H$8)*100</f>
        <v>0</v>
      </c>
      <c r="I18" s="104">
        <f>('COMPOS CART'!I18/'COMPOS CART'!I$8)*100</f>
        <v>0</v>
      </c>
      <c r="J18" s="104">
        <f>('COMPOS CART'!J18/'COMPOS CART'!J$8)*100</f>
        <v>0</v>
      </c>
      <c r="K18" s="105">
        <f>('COMPOS CART'!K18/'COMPOS CART'!K$8)*100</f>
        <v>0</v>
      </c>
    </row>
    <row r="19" spans="2:11" x14ac:dyDescent="0.2">
      <c r="B19" s="20">
        <f>+BALANCE!B141</f>
        <v>1412</v>
      </c>
      <c r="C19" s="21" t="str">
        <f>+BALANCE!C141</f>
        <v>Cartera de créditos para la microempresa refinanciada por vencer</v>
      </c>
      <c r="D19" s="104">
        <f>('COMPOS CART'!D19/'COMPOS CART'!D$8)*100</f>
        <v>0</v>
      </c>
      <c r="E19" s="104">
        <f>('COMPOS CART'!E19/'COMPOS CART'!E$8)*100</f>
        <v>0</v>
      </c>
      <c r="F19" s="104">
        <f>('COMPOS CART'!F19/'COMPOS CART'!F$8)*100</f>
        <v>0</v>
      </c>
      <c r="G19" s="104">
        <f>('COMPOS CART'!G19/'COMPOS CART'!G$8)*100</f>
        <v>0</v>
      </c>
      <c r="H19" s="104">
        <f>('COMPOS CART'!H19/'COMPOS CART'!H$8)*100</f>
        <v>0</v>
      </c>
      <c r="I19" s="104">
        <f>('COMPOS CART'!I19/'COMPOS CART'!I$8)*100</f>
        <v>0</v>
      </c>
      <c r="J19" s="104">
        <f>('COMPOS CART'!J19/'COMPOS CART'!J$8)*100</f>
        <v>0</v>
      </c>
      <c r="K19" s="105">
        <f>('COMPOS CART'!K19/'COMPOS CART'!K$8)*100</f>
        <v>0</v>
      </c>
    </row>
    <row r="20" spans="2:11" x14ac:dyDescent="0.2">
      <c r="B20" s="20">
        <f>+BALANCE!B147</f>
        <v>1413</v>
      </c>
      <c r="C20" s="21" t="str">
        <f>+BALANCE!C147</f>
        <v>Cartera de crédito educativo refinanciada por vencer</v>
      </c>
      <c r="D20" s="104">
        <f>('COMPOS CART'!D20/'COMPOS CART'!D$8)*100</f>
        <v>0</v>
      </c>
      <c r="E20" s="104">
        <f>('COMPOS CART'!E20/'COMPOS CART'!E$8)*100</f>
        <v>0</v>
      </c>
      <c r="F20" s="104">
        <f>('COMPOS CART'!F20/'COMPOS CART'!F$8)*100</f>
        <v>0</v>
      </c>
      <c r="G20" s="104">
        <f>('COMPOS CART'!G20/'COMPOS CART'!G$8)*100</f>
        <v>0</v>
      </c>
      <c r="H20" s="104">
        <f>('COMPOS CART'!H20/'COMPOS CART'!H$8)*100</f>
        <v>0</v>
      </c>
      <c r="I20" s="104">
        <f>('COMPOS CART'!I20/'COMPOS CART'!I$8)*100</f>
        <v>0</v>
      </c>
      <c r="J20" s="104">
        <f>('COMPOS CART'!J20/'COMPOS CART'!J$8)*100</f>
        <v>0</v>
      </c>
      <c r="K20" s="105">
        <f>('COMPOS CART'!K20/'COMPOS CART'!K$8)*100</f>
        <v>0</v>
      </c>
    </row>
    <row r="21" spans="2:11" x14ac:dyDescent="0.2">
      <c r="B21" s="20">
        <f>+BALANCE!B153</f>
        <v>1414</v>
      </c>
      <c r="C21" s="21" t="str">
        <f>+BALANCE!C153</f>
        <v>Cartera de créditos de inversión pública refinanciada por vencer</v>
      </c>
      <c r="D21" s="104">
        <f>('COMPOS CART'!D21/'COMPOS CART'!D$8)*100</f>
        <v>0</v>
      </c>
      <c r="E21" s="104">
        <f>('COMPOS CART'!E21/'COMPOS CART'!E$8)*100</f>
        <v>0</v>
      </c>
      <c r="F21" s="104">
        <f>('COMPOS CART'!F21/'COMPOS CART'!F$8)*100</f>
        <v>0</v>
      </c>
      <c r="G21" s="104">
        <f>('COMPOS CART'!G21/'COMPOS CART'!G$8)*100</f>
        <v>0</v>
      </c>
      <c r="H21" s="104">
        <f>('COMPOS CART'!H21/'COMPOS CART'!H$8)*100</f>
        <v>0</v>
      </c>
      <c r="I21" s="104">
        <f>('COMPOS CART'!I21/'COMPOS CART'!I$8)*100</f>
        <v>0</v>
      </c>
      <c r="J21" s="104">
        <f>('COMPOS CART'!J21/'COMPOS CART'!J$8)*100</f>
        <v>0</v>
      </c>
      <c r="K21" s="105">
        <f>('COMPOS CART'!K21/'COMPOS CART'!K$8)*100</f>
        <v>0</v>
      </c>
    </row>
    <row r="22" spans="2:11" x14ac:dyDescent="0.2">
      <c r="B22" s="20">
        <f>+BALANCE!B159</f>
        <v>1417</v>
      </c>
      <c r="C22" s="21" t="str">
        <f>+BALANCE!C159</f>
        <v>Cartera de créditos comercial reestructurada por vencer</v>
      </c>
      <c r="D22" s="104">
        <f>('COMPOS CART'!D22/'COMPOS CART'!D$8)*100</f>
        <v>0</v>
      </c>
      <c r="E22" s="104">
        <f>('COMPOS CART'!E22/'COMPOS CART'!E$8)*100</f>
        <v>0</v>
      </c>
      <c r="F22" s="104">
        <f>('COMPOS CART'!F22/'COMPOS CART'!F$8)*100</f>
        <v>0</v>
      </c>
      <c r="G22" s="104">
        <f>('COMPOS CART'!G22/'COMPOS CART'!G$8)*100</f>
        <v>1.5759993541909254</v>
      </c>
      <c r="H22" s="104">
        <f>('COMPOS CART'!H22/'COMPOS CART'!H$8)*100</f>
        <v>0.77521209020403492</v>
      </c>
      <c r="I22" s="104">
        <f>('COMPOS CART'!I22/'COMPOS CART'!I$8)*100</f>
        <v>0.77703969927938144</v>
      </c>
      <c r="J22" s="104">
        <f>('COMPOS CART'!J22/'COMPOS CART'!J$8)*100</f>
        <v>0.73208642678205438</v>
      </c>
      <c r="K22" s="105">
        <f>('COMPOS CART'!K22/'COMPOS CART'!K$8)*100</f>
        <v>0</v>
      </c>
    </row>
    <row r="23" spans="2:11" x14ac:dyDescent="0.2">
      <c r="B23" s="20">
        <f>+BALANCE!B165</f>
        <v>1418</v>
      </c>
      <c r="C23" s="21" t="str">
        <f>+BALANCE!C165</f>
        <v>Cartera de créditos de consumo reestructurada por vencer</v>
      </c>
      <c r="D23" s="104">
        <f>('COMPOS CART'!D23/'COMPOS CART'!D$8)*100</f>
        <v>0</v>
      </c>
      <c r="E23" s="104">
        <f>('COMPOS CART'!E23/'COMPOS CART'!E$8)*100</f>
        <v>0</v>
      </c>
      <c r="F23" s="104">
        <f>('COMPOS CART'!F23/'COMPOS CART'!F$8)*100</f>
        <v>0</v>
      </c>
      <c r="G23" s="104">
        <f>('COMPOS CART'!G23/'COMPOS CART'!G$8)*100</f>
        <v>4.6911818010981756E-3</v>
      </c>
      <c r="H23" s="104">
        <f>('COMPOS CART'!H23/'COMPOS CART'!H$8)*100</f>
        <v>0</v>
      </c>
      <c r="I23" s="104">
        <f>('COMPOS CART'!I23/'COMPOS CART'!I$8)*100</f>
        <v>1.4135976765711018E-3</v>
      </c>
      <c r="J23" s="104">
        <f>('COMPOS CART'!J23/'COMPOS CART'!J$8)*100</f>
        <v>1.3318182750612164E-3</v>
      </c>
      <c r="K23" s="105">
        <f>('COMPOS CART'!K23/'COMPOS CART'!K$8)*100</f>
        <v>0</v>
      </c>
    </row>
    <row r="24" spans="2:11" x14ac:dyDescent="0.2">
      <c r="B24" s="20">
        <f>+BALANCE!B171</f>
        <v>1419</v>
      </c>
      <c r="C24" s="21" t="str">
        <f>+BALANCE!C171</f>
        <v>Cartera de créditos de vivienda reestructurada por vencer</v>
      </c>
      <c r="D24" s="104">
        <f>('COMPOS CART'!D24/'COMPOS CART'!D$8)*100</f>
        <v>2.1530391668517961</v>
      </c>
      <c r="E24" s="104">
        <f>('COMPOS CART'!E24/'COMPOS CART'!E$8)*100</f>
        <v>2.1530391668517961</v>
      </c>
      <c r="F24" s="104">
        <f>('COMPOS CART'!F24/'COMPOS CART'!F$8)*100</f>
        <v>0</v>
      </c>
      <c r="G24" s="104">
        <f>('COMPOS CART'!G24/'COMPOS CART'!G$8)*100</f>
        <v>0</v>
      </c>
      <c r="H24" s="104">
        <f>('COMPOS CART'!H24/'COMPOS CART'!H$8)*100</f>
        <v>0</v>
      </c>
      <c r="I24" s="104">
        <f>('COMPOS CART'!I24/'COMPOS CART'!I$8)*100</f>
        <v>0</v>
      </c>
      <c r="J24" s="104">
        <f>('COMPOS CART'!J24/'COMPOS CART'!J$8)*100</f>
        <v>0.12455754378401132</v>
      </c>
      <c r="K24" s="105">
        <f>('COMPOS CART'!K24/'COMPOS CART'!K$8)*100</f>
        <v>0</v>
      </c>
    </row>
    <row r="25" spans="2:11" x14ac:dyDescent="0.2">
      <c r="B25" s="20">
        <f>+BALANCE!B177</f>
        <v>1420</v>
      </c>
      <c r="C25" s="21" t="str">
        <f>+BALANCE!C177</f>
        <v>Cartera de créditos para la microempresa reestructurada por vencer</v>
      </c>
      <c r="D25" s="104">
        <f>('COMPOS CART'!D25/'COMPOS CART'!D$8)*100</f>
        <v>0</v>
      </c>
      <c r="E25" s="104">
        <f>('COMPOS CART'!E25/'COMPOS CART'!E$8)*100</f>
        <v>0</v>
      </c>
      <c r="F25" s="104">
        <f>('COMPOS CART'!F25/'COMPOS CART'!F$8)*100</f>
        <v>0</v>
      </c>
      <c r="G25" s="104">
        <f>('COMPOS CART'!G25/'COMPOS CART'!G$8)*100</f>
        <v>7.7134454961981777E-2</v>
      </c>
      <c r="H25" s="104">
        <f>('COMPOS CART'!H25/'COMPOS CART'!H$8)*100</f>
        <v>0</v>
      </c>
      <c r="I25" s="104">
        <f>('COMPOS CART'!I25/'COMPOS CART'!I$8)*100</f>
        <v>2.3242988854601805E-2</v>
      </c>
      <c r="J25" s="104">
        <f>('COMPOS CART'!J25/'COMPOS CART'!J$8)*100</f>
        <v>2.1898336306473018E-2</v>
      </c>
      <c r="K25" s="105">
        <f>('COMPOS CART'!K25/'COMPOS CART'!K$8)*100</f>
        <v>0</v>
      </c>
    </row>
    <row r="26" spans="2:11" x14ac:dyDescent="0.2">
      <c r="B26" s="20">
        <f>+BALANCE!B183</f>
        <v>1421</v>
      </c>
      <c r="C26" s="21" t="str">
        <f>+BALANCE!C183</f>
        <v>Cartera de crédito educativo reestructurada por vencer</v>
      </c>
      <c r="D26" s="104">
        <f>('COMPOS CART'!D26/'COMPOS CART'!D$8)*100</f>
        <v>0</v>
      </c>
      <c r="E26" s="104">
        <f>('COMPOS CART'!E26/'COMPOS CART'!E$8)*100</f>
        <v>0</v>
      </c>
      <c r="F26" s="104">
        <f>('COMPOS CART'!F26/'COMPOS CART'!F$8)*100</f>
        <v>0</v>
      </c>
      <c r="G26" s="104">
        <f>('COMPOS CART'!G26/'COMPOS CART'!G$8)*100</f>
        <v>0</v>
      </c>
      <c r="H26" s="104">
        <f>('COMPOS CART'!H26/'COMPOS CART'!H$8)*100</f>
        <v>0</v>
      </c>
      <c r="I26" s="104">
        <f>('COMPOS CART'!I26/'COMPOS CART'!I$8)*100</f>
        <v>0</v>
      </c>
      <c r="J26" s="104">
        <f>('COMPOS CART'!J26/'COMPOS CART'!J$8)*100</f>
        <v>0</v>
      </c>
      <c r="K26" s="105">
        <f>('COMPOS CART'!K26/'COMPOS CART'!K$8)*100</f>
        <v>0</v>
      </c>
    </row>
    <row r="27" spans="2:11" x14ac:dyDescent="0.2">
      <c r="B27" s="20">
        <f>+BALANCE!B189</f>
        <v>1422</v>
      </c>
      <c r="C27" s="21" t="str">
        <f>+BALANCE!C189</f>
        <v>Cartera de créditos de inversión pública reestructurada por vencer</v>
      </c>
      <c r="D27" s="104">
        <f>('COMPOS CART'!D27/'COMPOS CART'!D$8)*100</f>
        <v>0</v>
      </c>
      <c r="E27" s="104">
        <f>('COMPOS CART'!E27/'COMPOS CART'!E$8)*100</f>
        <v>0</v>
      </c>
      <c r="F27" s="104">
        <f>('COMPOS CART'!F27/'COMPOS CART'!F$8)*100</f>
        <v>0</v>
      </c>
      <c r="G27" s="104">
        <f>('COMPOS CART'!G27/'COMPOS CART'!G$8)*100</f>
        <v>0</v>
      </c>
      <c r="H27" s="104">
        <f>('COMPOS CART'!H27/'COMPOS CART'!H$8)*100</f>
        <v>0</v>
      </c>
      <c r="I27" s="104">
        <f>('COMPOS CART'!I27/'COMPOS CART'!I$8)*100</f>
        <v>0</v>
      </c>
      <c r="J27" s="104">
        <f>('COMPOS CART'!J27/'COMPOS CART'!J$8)*100</f>
        <v>0</v>
      </c>
      <c r="K27" s="105">
        <f>('COMPOS CART'!K27/'COMPOS CART'!K$8)*100</f>
        <v>0</v>
      </c>
    </row>
    <row r="28" spans="2:11" ht="15" x14ac:dyDescent="0.25">
      <c r="B28" s="20"/>
      <c r="C28" s="24" t="s">
        <v>630</v>
      </c>
      <c r="D28" s="124">
        <f>('COMPOS CART'!D28/'COMPOS CART'!D$8)*100</f>
        <v>87.609114838667665</v>
      </c>
      <c r="E28" s="124">
        <f>('COMPOS CART'!E28/'COMPOS CART'!E$8)*100</f>
        <v>87.609114838667665</v>
      </c>
      <c r="F28" s="124">
        <f>('COMPOS CART'!F28/'COMPOS CART'!F$8)*100</f>
        <v>99.977775908335985</v>
      </c>
      <c r="G28" s="124">
        <f>('COMPOS CART'!G28/'COMPOS CART'!G$8)*100</f>
        <v>83.942013245427106</v>
      </c>
      <c r="H28" s="124">
        <f>('COMPOS CART'!H28/'COMPOS CART'!H$8)*100</f>
        <v>93.798026273975523</v>
      </c>
      <c r="I28" s="124">
        <f>('COMPOS CART'!I28/'COMPOS CART'!I$8)*100</f>
        <v>92.737120189669596</v>
      </c>
      <c r="J28" s="124">
        <f>('COMPOS CART'!J28/'COMPOS CART'!J$8)*100</f>
        <v>92.440455010110412</v>
      </c>
      <c r="K28" s="125">
        <f>('COMPOS CART'!K28/'COMPOS CART'!K$8)*100</f>
        <v>89.487377827919474</v>
      </c>
    </row>
    <row r="29" spans="2:11" x14ac:dyDescent="0.2">
      <c r="B29" s="20"/>
      <c r="C29" s="21"/>
      <c r="D29" s="104"/>
      <c r="E29" s="104"/>
      <c r="F29" s="104"/>
      <c r="G29" s="104"/>
      <c r="H29" s="104"/>
      <c r="I29" s="104"/>
      <c r="J29" s="104"/>
      <c r="K29" s="105"/>
    </row>
    <row r="30" spans="2:11" x14ac:dyDescent="0.2">
      <c r="B30" s="20">
        <f>+BALANCE!B195</f>
        <v>1425</v>
      </c>
      <c r="C30" s="21" t="str">
        <f>+BALANCE!C195</f>
        <v>Cartera de créditos comercial que no devenga intereses</v>
      </c>
      <c r="D30" s="104">
        <f>('COMPOS CART'!D30/'COMPOS CART'!D$8)*100</f>
        <v>7.1207024889037402</v>
      </c>
      <c r="E30" s="104">
        <f>('COMPOS CART'!E30/'COMPOS CART'!E$8)*100</f>
        <v>7.1207024889037402</v>
      </c>
      <c r="F30" s="104">
        <f>('COMPOS CART'!F30/'COMPOS CART'!F$8)*100</f>
        <v>0</v>
      </c>
      <c r="G30" s="104">
        <f>('COMPOS CART'!G30/'COMPOS CART'!G$8)*100</f>
        <v>6.5133504100414834</v>
      </c>
      <c r="H30" s="104">
        <f>('COMPOS CART'!H30/'COMPOS CART'!H$8)*100</f>
        <v>1.9278937963914302</v>
      </c>
      <c r="I30" s="104">
        <f>('COMPOS CART'!I30/'COMPOS CART'!I$8)*100</f>
        <v>2.7140788132390488</v>
      </c>
      <c r="J30" s="104">
        <f>('COMPOS CART'!J30/'COMPOS CART'!J$8)*100</f>
        <v>2.9690106462831465</v>
      </c>
      <c r="K30" s="105">
        <f>('COMPOS CART'!K30/'COMPOS CART'!K$8)*100</f>
        <v>0</v>
      </c>
    </row>
    <row r="31" spans="2:11" x14ac:dyDescent="0.2">
      <c r="B31" s="20">
        <f>+BALANCE!B201</f>
        <v>1426</v>
      </c>
      <c r="C31" s="21" t="str">
        <f>+BALANCE!C201</f>
        <v>Cartera de créditos de consumo que no devenga intereses</v>
      </c>
      <c r="D31" s="104">
        <f>('COMPOS CART'!D31/'COMPOS CART'!D$8)*100</f>
        <v>0</v>
      </c>
      <c r="E31" s="104">
        <f>('COMPOS CART'!E31/'COMPOS CART'!E$8)*100</f>
        <v>0</v>
      </c>
      <c r="F31" s="104">
        <f>('COMPOS CART'!F31/'COMPOS CART'!F$8)*100</f>
        <v>0</v>
      </c>
      <c r="G31" s="104">
        <f>('COMPOS CART'!G31/'COMPOS CART'!G$8)*100</f>
        <v>0.44416176635251864</v>
      </c>
      <c r="H31" s="104">
        <f>('COMPOS CART'!H31/'COMPOS CART'!H$8)*100</f>
        <v>0</v>
      </c>
      <c r="I31" s="104">
        <f>('COMPOS CART'!I31/'COMPOS CART'!I$8)*100</f>
        <v>0.13383963094132431</v>
      </c>
      <c r="J31" s="104">
        <f>('COMPOS CART'!J31/'COMPOS CART'!J$8)*100</f>
        <v>0.12609674546684121</v>
      </c>
      <c r="K31" s="105">
        <f>('COMPOS CART'!K31/'COMPOS CART'!K$8)*100</f>
        <v>0</v>
      </c>
    </row>
    <row r="32" spans="2:11" x14ac:dyDescent="0.2">
      <c r="B32" s="20">
        <f>+BALANCE!B207</f>
        <v>1427</v>
      </c>
      <c r="C32" s="21" t="str">
        <f>+BALANCE!C207</f>
        <v>Cartera de créditos de vivienda que no devenga intereses</v>
      </c>
      <c r="D32" s="104">
        <f>('COMPOS CART'!D32/'COMPOS CART'!D$8)*100</f>
        <v>0.34747080370383071</v>
      </c>
      <c r="E32" s="104">
        <f>('COMPOS CART'!E32/'COMPOS CART'!E$8)*100</f>
        <v>0.34747080370383071</v>
      </c>
      <c r="F32" s="104">
        <f>('COMPOS CART'!F32/'COMPOS CART'!F$8)*100</f>
        <v>0</v>
      </c>
      <c r="G32" s="104">
        <f>('COMPOS CART'!G32/'COMPOS CART'!G$8)*100</f>
        <v>0</v>
      </c>
      <c r="H32" s="104">
        <f>('COMPOS CART'!H32/'COMPOS CART'!H$8)*100</f>
        <v>0</v>
      </c>
      <c r="I32" s="104">
        <f>('COMPOS CART'!I32/'COMPOS CART'!I$8)*100</f>
        <v>0</v>
      </c>
      <c r="J32" s="104">
        <f>('COMPOS CART'!J32/'COMPOS CART'!J$8)*100</f>
        <v>2.0101868332144779E-2</v>
      </c>
      <c r="K32" s="105">
        <f>('COMPOS CART'!K32/'COMPOS CART'!K$8)*100</f>
        <v>0</v>
      </c>
    </row>
    <row r="33" spans="2:11" x14ac:dyDescent="0.2">
      <c r="B33" s="20">
        <f>+BALANCE!B213</f>
        <v>1428</v>
      </c>
      <c r="C33" s="21" t="str">
        <f>+BALANCE!C213</f>
        <v>Cartera de créditos para la microempresa que no devenga intereses</v>
      </c>
      <c r="D33" s="104">
        <f>('COMPOS CART'!D33/'COMPOS CART'!D$8)*100</f>
        <v>0</v>
      </c>
      <c r="E33" s="104">
        <f>('COMPOS CART'!E33/'COMPOS CART'!E$8)*100</f>
        <v>0</v>
      </c>
      <c r="F33" s="104">
        <f>('COMPOS CART'!F33/'COMPOS CART'!F$8)*100</f>
        <v>0</v>
      </c>
      <c r="G33" s="104">
        <f>('COMPOS CART'!G33/'COMPOS CART'!G$8)*100</f>
        <v>1.395793051268498</v>
      </c>
      <c r="H33" s="104">
        <f>('COMPOS CART'!H33/'COMPOS CART'!H$8)*100</f>
        <v>0.33691474600162225</v>
      </c>
      <c r="I33" s="104">
        <f>('COMPOS CART'!I33/'COMPOS CART'!I$8)*100</f>
        <v>0.5519095583042245</v>
      </c>
      <c r="J33" s="104">
        <f>('COMPOS CART'!J33/'COMPOS CART'!J$8)*100</f>
        <v>0.51998050655649808</v>
      </c>
      <c r="K33" s="105">
        <f>('COMPOS CART'!K33/'COMPOS CART'!K$8)*100</f>
        <v>0</v>
      </c>
    </row>
    <row r="34" spans="2:11" x14ac:dyDescent="0.2">
      <c r="B34" s="20">
        <f>+BALANCE!B219</f>
        <v>1429</v>
      </c>
      <c r="C34" s="21" t="str">
        <f>+BALANCE!C219</f>
        <v>Cartera de crédito educativo que no devenga intereses</v>
      </c>
      <c r="D34" s="104">
        <f>('COMPOS CART'!D34/'COMPOS CART'!D$8)*100</f>
        <v>0</v>
      </c>
      <c r="E34" s="104">
        <f>('COMPOS CART'!E34/'COMPOS CART'!E$8)*100</f>
        <v>0</v>
      </c>
      <c r="F34" s="104">
        <f>('COMPOS CART'!F34/'COMPOS CART'!F$8)*100</f>
        <v>0</v>
      </c>
      <c r="G34" s="104">
        <f>('COMPOS CART'!G34/'COMPOS CART'!G$8)*100</f>
        <v>0</v>
      </c>
      <c r="H34" s="104">
        <f>('COMPOS CART'!H34/'COMPOS CART'!H$8)*100</f>
        <v>0</v>
      </c>
      <c r="I34" s="104">
        <f>('COMPOS CART'!I34/'COMPOS CART'!I$8)*100</f>
        <v>0</v>
      </c>
      <c r="J34" s="104">
        <f>('COMPOS CART'!J34/'COMPOS CART'!J$8)*100</f>
        <v>0</v>
      </c>
      <c r="K34" s="105">
        <f>('COMPOS CART'!K34/'COMPOS CART'!K$8)*100</f>
        <v>6.2006077926220193</v>
      </c>
    </row>
    <row r="35" spans="2:11" x14ac:dyDescent="0.2">
      <c r="B35" s="20">
        <f>+BALANCE!B225</f>
        <v>1430</v>
      </c>
      <c r="C35" s="21" t="str">
        <f>+BALANCE!C225</f>
        <v>Cartera de créditos de inversión pública que no devenga intereses</v>
      </c>
      <c r="D35" s="104">
        <f>('COMPOS CART'!D35/'COMPOS CART'!D$8)*100</f>
        <v>0</v>
      </c>
      <c r="E35" s="104">
        <f>('COMPOS CART'!E35/'COMPOS CART'!E$8)*100</f>
        <v>0</v>
      </c>
      <c r="F35" s="104">
        <f>('COMPOS CART'!F35/'COMPOS CART'!F$8)*100</f>
        <v>2.0323195613072775E-2</v>
      </c>
      <c r="G35" s="104">
        <f>('COMPOS CART'!G35/'COMPOS CART'!G$8)*100</f>
        <v>0</v>
      </c>
      <c r="H35" s="104">
        <f>('COMPOS CART'!H35/'COMPOS CART'!H$8)*100</f>
        <v>0</v>
      </c>
      <c r="I35" s="104">
        <f>('COMPOS CART'!I35/'COMPOS CART'!I$8)*100</f>
        <v>6.2781303776319073E-3</v>
      </c>
      <c r="J35" s="104">
        <f>('COMPOS CART'!J35/'COMPOS CART'!J$8)*100</f>
        <v>5.9149282067503381E-3</v>
      </c>
      <c r="K35" s="105">
        <f>('COMPOS CART'!K35/'COMPOS CART'!K$8)*100</f>
        <v>0</v>
      </c>
    </row>
    <row r="36" spans="2:11" x14ac:dyDescent="0.2">
      <c r="B36" s="20">
        <f>+BALANCE!B231</f>
        <v>1433</v>
      </c>
      <c r="C36" s="21" t="str">
        <f>+BALANCE!C231</f>
        <v>Cartera de créditos comercial refinanciada que no devenga intereses</v>
      </c>
      <c r="D36" s="104">
        <f>('COMPOS CART'!D36/'COMPOS CART'!D$8)*100</f>
        <v>0</v>
      </c>
      <c r="E36" s="104">
        <f>('COMPOS CART'!E36/'COMPOS CART'!E$8)*100</f>
        <v>0</v>
      </c>
      <c r="F36" s="104">
        <f>('COMPOS CART'!F36/'COMPOS CART'!F$8)*100</f>
        <v>0</v>
      </c>
      <c r="G36" s="104">
        <f>('COMPOS CART'!G36/'COMPOS CART'!G$8)*100</f>
        <v>0</v>
      </c>
      <c r="H36" s="104">
        <f>('COMPOS CART'!H36/'COMPOS CART'!H$8)*100</f>
        <v>0</v>
      </c>
      <c r="I36" s="104">
        <f>('COMPOS CART'!I36/'COMPOS CART'!I$8)*100</f>
        <v>0</v>
      </c>
      <c r="J36" s="104">
        <f>('COMPOS CART'!J36/'COMPOS CART'!J$8)*100</f>
        <v>0</v>
      </c>
      <c r="K36" s="105">
        <f>('COMPOS CART'!K36/'COMPOS CART'!K$8)*100</f>
        <v>0</v>
      </c>
    </row>
    <row r="37" spans="2:11" x14ac:dyDescent="0.2">
      <c r="B37" s="20">
        <f>+BALANCE!B237</f>
        <v>1434</v>
      </c>
      <c r="C37" s="21" t="str">
        <f>+BALANCE!C237</f>
        <v>Cartera de créditos de consumo refinanciada que no devenga intereses</v>
      </c>
      <c r="D37" s="104">
        <f>('COMPOS CART'!D37/'COMPOS CART'!D$8)*100</f>
        <v>0</v>
      </c>
      <c r="E37" s="104">
        <f>('COMPOS CART'!E37/'COMPOS CART'!E$8)*100</f>
        <v>0</v>
      </c>
      <c r="F37" s="104">
        <f>('COMPOS CART'!F37/'COMPOS CART'!F$8)*100</f>
        <v>0</v>
      </c>
      <c r="G37" s="104">
        <f>('COMPOS CART'!G37/'COMPOS CART'!G$8)*100</f>
        <v>0</v>
      </c>
      <c r="H37" s="104">
        <f>('COMPOS CART'!H37/'COMPOS CART'!H$8)*100</f>
        <v>0</v>
      </c>
      <c r="I37" s="104">
        <f>('COMPOS CART'!I37/'COMPOS CART'!I$8)*100</f>
        <v>0</v>
      </c>
      <c r="J37" s="104">
        <f>('COMPOS CART'!J37/'COMPOS CART'!J$8)*100</f>
        <v>0</v>
      </c>
      <c r="K37" s="105">
        <f>('COMPOS CART'!K37/'COMPOS CART'!K$8)*100</f>
        <v>0</v>
      </c>
    </row>
    <row r="38" spans="2:11" x14ac:dyDescent="0.2">
      <c r="B38" s="20">
        <f>+BALANCE!B243</f>
        <v>1435</v>
      </c>
      <c r="C38" s="21" t="str">
        <f>+BALANCE!C243</f>
        <v>Cartera de créditos de vivienda refinanciada que no devenga intereses</v>
      </c>
      <c r="D38" s="104">
        <f>('COMPOS CART'!D38/'COMPOS CART'!D$8)*100</f>
        <v>0</v>
      </c>
      <c r="E38" s="104">
        <f>('COMPOS CART'!E38/'COMPOS CART'!E$8)*100</f>
        <v>0</v>
      </c>
      <c r="F38" s="104">
        <f>('COMPOS CART'!F38/'COMPOS CART'!F$8)*100</f>
        <v>0</v>
      </c>
      <c r="G38" s="104">
        <f>('COMPOS CART'!G38/'COMPOS CART'!G$8)*100</f>
        <v>0</v>
      </c>
      <c r="H38" s="104">
        <f>('COMPOS CART'!H38/'COMPOS CART'!H$8)*100</f>
        <v>0</v>
      </c>
      <c r="I38" s="104">
        <f>('COMPOS CART'!I38/'COMPOS CART'!I$8)*100</f>
        <v>0</v>
      </c>
      <c r="J38" s="104">
        <f>('COMPOS CART'!J38/'COMPOS CART'!J$8)*100</f>
        <v>0</v>
      </c>
      <c r="K38" s="105">
        <f>('COMPOS CART'!K38/'COMPOS CART'!K$8)*100</f>
        <v>0</v>
      </c>
    </row>
    <row r="39" spans="2:11" x14ac:dyDescent="0.2">
      <c r="B39" s="20">
        <f>+BALANCE!B249</f>
        <v>1436</v>
      </c>
      <c r="C39" s="21" t="str">
        <f>+BALANCE!C249</f>
        <v>Cartera de créditos para la microempresa refinanciada que no devenga intereses</v>
      </c>
      <c r="D39" s="104">
        <f>('COMPOS CART'!D39/'COMPOS CART'!D$8)*100</f>
        <v>0</v>
      </c>
      <c r="E39" s="104">
        <f>('COMPOS CART'!E39/'COMPOS CART'!E$8)*100</f>
        <v>0</v>
      </c>
      <c r="F39" s="104">
        <f>('COMPOS CART'!F39/'COMPOS CART'!F$8)*100</f>
        <v>0</v>
      </c>
      <c r="G39" s="104">
        <f>('COMPOS CART'!G39/'COMPOS CART'!G$8)*100</f>
        <v>0</v>
      </c>
      <c r="H39" s="104">
        <f>('COMPOS CART'!H39/'COMPOS CART'!H$8)*100</f>
        <v>0</v>
      </c>
      <c r="I39" s="104">
        <f>('COMPOS CART'!I39/'COMPOS CART'!I$8)*100</f>
        <v>0</v>
      </c>
      <c r="J39" s="104">
        <f>('COMPOS CART'!J39/'COMPOS CART'!J$8)*100</f>
        <v>0</v>
      </c>
      <c r="K39" s="105">
        <f>('COMPOS CART'!K39/'COMPOS CART'!K$8)*100</f>
        <v>0</v>
      </c>
    </row>
    <row r="40" spans="2:11" x14ac:dyDescent="0.2">
      <c r="B40" s="20">
        <f>+BALANCE!B255</f>
        <v>1437</v>
      </c>
      <c r="C40" s="21" t="str">
        <f>+BALANCE!C255</f>
        <v>Cartera de crédito educativo refinanciada que no devenga intereses</v>
      </c>
      <c r="D40" s="104">
        <f>('COMPOS CART'!D40/'COMPOS CART'!D$8)*100</f>
        <v>0</v>
      </c>
      <c r="E40" s="104">
        <f>('COMPOS CART'!E40/'COMPOS CART'!E$8)*100</f>
        <v>0</v>
      </c>
      <c r="F40" s="104">
        <f>('COMPOS CART'!F40/'COMPOS CART'!F$8)*100</f>
        <v>0</v>
      </c>
      <c r="G40" s="104">
        <f>('COMPOS CART'!G40/'COMPOS CART'!G$8)*100</f>
        <v>0</v>
      </c>
      <c r="H40" s="104">
        <f>('COMPOS CART'!H40/'COMPOS CART'!H$8)*100</f>
        <v>0</v>
      </c>
      <c r="I40" s="104">
        <f>('COMPOS CART'!I40/'COMPOS CART'!I$8)*100</f>
        <v>0</v>
      </c>
      <c r="J40" s="104">
        <f>('COMPOS CART'!J40/'COMPOS CART'!J$8)*100</f>
        <v>0</v>
      </c>
      <c r="K40" s="105">
        <f>('COMPOS CART'!K40/'COMPOS CART'!K$8)*100</f>
        <v>0</v>
      </c>
    </row>
    <row r="41" spans="2:11" x14ac:dyDescent="0.2">
      <c r="B41" s="20">
        <f>+BALANCE!B261</f>
        <v>1438</v>
      </c>
      <c r="C41" s="21" t="str">
        <f>+BALANCE!C261</f>
        <v>Cartera de créditos de inversión pública refinanciada que no devenga intereses</v>
      </c>
      <c r="D41" s="104">
        <f>('COMPOS CART'!D41/'COMPOS CART'!D$8)*100</f>
        <v>0</v>
      </c>
      <c r="E41" s="104">
        <f>('COMPOS CART'!E41/'COMPOS CART'!E$8)*100</f>
        <v>0</v>
      </c>
      <c r="F41" s="104">
        <f>('COMPOS CART'!F41/'COMPOS CART'!F$8)*100</f>
        <v>0</v>
      </c>
      <c r="G41" s="104">
        <f>('COMPOS CART'!G41/'COMPOS CART'!G$8)*100</f>
        <v>0</v>
      </c>
      <c r="H41" s="104">
        <f>('COMPOS CART'!H41/'COMPOS CART'!H$8)*100</f>
        <v>0</v>
      </c>
      <c r="I41" s="104">
        <f>('COMPOS CART'!I41/'COMPOS CART'!I$8)*100</f>
        <v>0</v>
      </c>
      <c r="J41" s="104">
        <f>('COMPOS CART'!J41/'COMPOS CART'!J$8)*100</f>
        <v>0</v>
      </c>
      <c r="K41" s="105">
        <f>('COMPOS CART'!K41/'COMPOS CART'!K$8)*100</f>
        <v>0</v>
      </c>
    </row>
    <row r="42" spans="2:11" x14ac:dyDescent="0.2">
      <c r="B42" s="20">
        <f>+BALANCE!B267</f>
        <v>1441</v>
      </c>
      <c r="C42" s="21" t="str">
        <f>+BALANCE!C267</f>
        <v>Cartera de créditos comercial reestructurada que no devenga intereses</v>
      </c>
      <c r="D42" s="104">
        <f>('COMPOS CART'!D42/'COMPOS CART'!D$8)*100</f>
        <v>0</v>
      </c>
      <c r="E42" s="104">
        <f>('COMPOS CART'!E42/'COMPOS CART'!E$8)*100</f>
        <v>0</v>
      </c>
      <c r="F42" s="104">
        <f>('COMPOS CART'!F42/'COMPOS CART'!F$8)*100</f>
        <v>0</v>
      </c>
      <c r="G42" s="104">
        <f>('COMPOS CART'!G42/'COMPOS CART'!G$8)*100</f>
        <v>1.5404573209807773</v>
      </c>
      <c r="H42" s="104">
        <f>('COMPOS CART'!H42/'COMPOS CART'!H$8)*100</f>
        <v>5.0668353032573818E-2</v>
      </c>
      <c r="I42" s="104">
        <f>('COMPOS CART'!I42/'COMPOS CART'!I$8)*100</f>
        <v>0.48393549963008636</v>
      </c>
      <c r="J42" s="104">
        <f>('COMPOS CART'!J42/'COMPOS CART'!J$8)*100</f>
        <v>0.45593888065916865</v>
      </c>
      <c r="K42" s="105">
        <f>('COMPOS CART'!K42/'COMPOS CART'!K$8)*100</f>
        <v>0</v>
      </c>
    </row>
    <row r="43" spans="2:11" x14ac:dyDescent="0.2">
      <c r="B43" s="20">
        <f>+BALANCE!B273</f>
        <v>1442</v>
      </c>
      <c r="C43" s="21" t="str">
        <f>+BALANCE!C273</f>
        <v>Cartera de créditos de consumo reestructurada que no devenga intereses</v>
      </c>
      <c r="D43" s="104">
        <f>('COMPOS CART'!D43/'COMPOS CART'!D$8)*100</f>
        <v>0</v>
      </c>
      <c r="E43" s="104">
        <f>('COMPOS CART'!E43/'COMPOS CART'!E$8)*100</f>
        <v>0</v>
      </c>
      <c r="F43" s="104">
        <f>('COMPOS CART'!F43/'COMPOS CART'!F$8)*100</f>
        <v>0</v>
      </c>
      <c r="G43" s="104">
        <f>('COMPOS CART'!G43/'COMPOS CART'!G$8)*100</f>
        <v>9.3204866380990296E-3</v>
      </c>
      <c r="H43" s="104">
        <f>('COMPOS CART'!H43/'COMPOS CART'!H$8)*100</f>
        <v>0</v>
      </c>
      <c r="I43" s="104">
        <f>('COMPOS CART'!I43/'COMPOS CART'!I$8)*100</f>
        <v>2.8085499165784846E-3</v>
      </c>
      <c r="J43" s="104">
        <f>('COMPOS CART'!J43/'COMPOS CART'!J$8)*100</f>
        <v>2.6460697886784767E-3</v>
      </c>
      <c r="K43" s="105">
        <f>('COMPOS CART'!K43/'COMPOS CART'!K$8)*100</f>
        <v>0</v>
      </c>
    </row>
    <row r="44" spans="2:11" x14ac:dyDescent="0.2">
      <c r="B44" s="20">
        <f>+BALANCE!B279</f>
        <v>1443</v>
      </c>
      <c r="C44" s="21" t="str">
        <f>+BALANCE!C279</f>
        <v>Cartera de créditos de vivienda reestructurada que no devenga intereses</v>
      </c>
      <c r="D44" s="104">
        <f>('COMPOS CART'!D44/'COMPOS CART'!D$8)*100</f>
        <v>0.11061778901680656</v>
      </c>
      <c r="E44" s="104">
        <f>('COMPOS CART'!E44/'COMPOS CART'!E$8)*100</f>
        <v>0.11061778901680656</v>
      </c>
      <c r="F44" s="104">
        <f>('COMPOS CART'!F44/'COMPOS CART'!F$8)*100</f>
        <v>0</v>
      </c>
      <c r="G44" s="104">
        <f>('COMPOS CART'!G44/'COMPOS CART'!G$8)*100</f>
        <v>0</v>
      </c>
      <c r="H44" s="104">
        <f>('COMPOS CART'!H44/'COMPOS CART'!H$8)*100</f>
        <v>0</v>
      </c>
      <c r="I44" s="104">
        <f>('COMPOS CART'!I44/'COMPOS CART'!I$8)*100</f>
        <v>0</v>
      </c>
      <c r="J44" s="104">
        <f>('COMPOS CART'!J44/'COMPOS CART'!J$8)*100</f>
        <v>6.3994563177864547E-3</v>
      </c>
      <c r="K44" s="105">
        <f>('COMPOS CART'!K44/'COMPOS CART'!K$8)*100</f>
        <v>0</v>
      </c>
    </row>
    <row r="45" spans="2:11" x14ac:dyDescent="0.2">
      <c r="B45" s="20">
        <f>+BALANCE!B285</f>
        <v>1444</v>
      </c>
      <c r="C45" s="21" t="str">
        <f>+BALANCE!C285</f>
        <v>Cartera de créditos para la microempresa reestructurada que no devenga intereses</v>
      </c>
      <c r="D45" s="104">
        <f>('COMPOS CART'!D45/'COMPOS CART'!D$8)*100</f>
        <v>0</v>
      </c>
      <c r="E45" s="104">
        <f>('COMPOS CART'!E45/'COMPOS CART'!E$8)*100</f>
        <v>0</v>
      </c>
      <c r="F45" s="104">
        <f>('COMPOS CART'!F45/'COMPOS CART'!F$8)*100</f>
        <v>0</v>
      </c>
      <c r="G45" s="104">
        <f>('COMPOS CART'!G45/'COMPOS CART'!G$8)*100</f>
        <v>1.988696876289766E-2</v>
      </c>
      <c r="H45" s="104">
        <f>('COMPOS CART'!H45/'COMPOS CART'!H$8)*100</f>
        <v>0</v>
      </c>
      <c r="I45" s="104">
        <f>('COMPOS CART'!I45/'COMPOS CART'!I$8)*100</f>
        <v>5.9925566795755664E-3</v>
      </c>
      <c r="J45" s="104">
        <f>('COMPOS CART'!J45/'COMPOS CART'!J$8)*100</f>
        <v>5.6458755079154032E-3</v>
      </c>
      <c r="K45" s="105">
        <f>('COMPOS CART'!K45/'COMPOS CART'!K$8)*100</f>
        <v>0</v>
      </c>
    </row>
    <row r="46" spans="2:11" x14ac:dyDescent="0.2">
      <c r="B46" s="20">
        <f>+BALANCE!B291</f>
        <v>1445</v>
      </c>
      <c r="C46" s="21" t="str">
        <f>+BALANCE!C291</f>
        <v>Cartera de crédito educativo reestructurada que no devenga intereses</v>
      </c>
      <c r="D46" s="104">
        <f>('COMPOS CART'!D46/'COMPOS CART'!D$8)*100</f>
        <v>0</v>
      </c>
      <c r="E46" s="104">
        <f>('COMPOS CART'!E46/'COMPOS CART'!E$8)*100</f>
        <v>0</v>
      </c>
      <c r="F46" s="104">
        <f>('COMPOS CART'!F46/'COMPOS CART'!F$8)*100</f>
        <v>0</v>
      </c>
      <c r="G46" s="104">
        <f>('COMPOS CART'!G46/'COMPOS CART'!G$8)*100</f>
        <v>0</v>
      </c>
      <c r="H46" s="104">
        <f>('COMPOS CART'!H46/'COMPOS CART'!H$8)*100</f>
        <v>0</v>
      </c>
      <c r="I46" s="104">
        <f>('COMPOS CART'!I46/'COMPOS CART'!I$8)*100</f>
        <v>0</v>
      </c>
      <c r="J46" s="104">
        <f>('COMPOS CART'!J46/'COMPOS CART'!J$8)*100</f>
        <v>0</v>
      </c>
      <c r="K46" s="105">
        <f>('COMPOS CART'!K46/'COMPOS CART'!K$8)*100</f>
        <v>0</v>
      </c>
    </row>
    <row r="47" spans="2:11" x14ac:dyDescent="0.2">
      <c r="B47" s="20">
        <f>+BALANCE!B297</f>
        <v>1446</v>
      </c>
      <c r="C47" s="21" t="str">
        <f>+BALANCE!C297</f>
        <v>Cartera de créditos de inversión pública reestructurada que no devenga intereses</v>
      </c>
      <c r="D47" s="104">
        <f>('COMPOS CART'!D47/'COMPOS CART'!D$8)*100</f>
        <v>0</v>
      </c>
      <c r="E47" s="104">
        <f>('COMPOS CART'!E47/'COMPOS CART'!E$8)*100</f>
        <v>0</v>
      </c>
      <c r="F47" s="104">
        <f>('COMPOS CART'!F47/'COMPOS CART'!F$8)*100</f>
        <v>0</v>
      </c>
      <c r="G47" s="104">
        <f>('COMPOS CART'!G47/'COMPOS CART'!G$8)*100</f>
        <v>0</v>
      </c>
      <c r="H47" s="104">
        <f>('COMPOS CART'!H47/'COMPOS CART'!H$8)*100</f>
        <v>0</v>
      </c>
      <c r="I47" s="104">
        <f>('COMPOS CART'!I47/'COMPOS CART'!I$8)*100</f>
        <v>0</v>
      </c>
      <c r="J47" s="104">
        <f>('COMPOS CART'!J47/'COMPOS CART'!J$8)*100</f>
        <v>0</v>
      </c>
      <c r="K47" s="105">
        <f>('COMPOS CART'!K47/'COMPOS CART'!K$8)*100</f>
        <v>0</v>
      </c>
    </row>
    <row r="48" spans="2:11" ht="15" x14ac:dyDescent="0.25">
      <c r="B48" s="20"/>
      <c r="C48" s="24" t="s">
        <v>604</v>
      </c>
      <c r="D48" s="124">
        <f>('COMPOS CART'!D48/'COMPOS CART'!D$8)*100</f>
        <v>7.5787910816243782</v>
      </c>
      <c r="E48" s="124">
        <f>('COMPOS CART'!E48/'COMPOS CART'!E$8)*100</f>
        <v>7.5787910816243782</v>
      </c>
      <c r="F48" s="124">
        <f>('COMPOS CART'!F48/'COMPOS CART'!F$8)*100</f>
        <v>2.0323195613072775E-2</v>
      </c>
      <c r="G48" s="124">
        <f>('COMPOS CART'!G48/'COMPOS CART'!G$8)*100</f>
        <v>9.9229700040442737</v>
      </c>
      <c r="H48" s="124">
        <f>('COMPOS CART'!H48/'COMPOS CART'!H$8)*100</f>
        <v>2.3154768954256264</v>
      </c>
      <c r="I48" s="124">
        <f>('COMPOS CART'!I48/'COMPOS CART'!I$8)*100</f>
        <v>3.8988427390884692</v>
      </c>
      <c r="J48" s="124">
        <f>('COMPOS CART'!J48/'COMPOS CART'!J$8)*100</f>
        <v>4.1117349771189291</v>
      </c>
      <c r="K48" s="125">
        <f>('COMPOS CART'!K48/'COMPOS CART'!K$8)*100</f>
        <v>6.2006077926220193</v>
      </c>
    </row>
    <row r="49" spans="2:11" x14ac:dyDescent="0.2">
      <c r="B49" s="20"/>
      <c r="C49" s="21"/>
      <c r="D49" s="104"/>
      <c r="E49" s="104"/>
      <c r="F49" s="104"/>
      <c r="G49" s="104"/>
      <c r="H49" s="104"/>
      <c r="I49" s="104"/>
      <c r="J49" s="104"/>
      <c r="K49" s="105"/>
    </row>
    <row r="50" spans="2:11" x14ac:dyDescent="0.2">
      <c r="B50" s="20">
        <f>+BALANCE!B303</f>
        <v>1449</v>
      </c>
      <c r="C50" s="21" t="str">
        <f>+BALANCE!C303</f>
        <v>Cartera de créditos comercial vencida</v>
      </c>
      <c r="D50" s="104">
        <f>('COMPOS CART'!D50/'COMPOS CART'!D$8)*100</f>
        <v>4.7798521929961133</v>
      </c>
      <c r="E50" s="104">
        <f>('COMPOS CART'!E50/'COMPOS CART'!E$8)*100</f>
        <v>4.7798521929961133</v>
      </c>
      <c r="F50" s="104">
        <f>('COMPOS CART'!F50/'COMPOS CART'!F$8)*100</f>
        <v>0</v>
      </c>
      <c r="G50" s="104">
        <f>('COMPOS CART'!G50/'COMPOS CART'!G$8)*100</f>
        <v>4.4237683426587919</v>
      </c>
      <c r="H50" s="104">
        <f>('COMPOS CART'!H50/'COMPOS CART'!H$8)*100</f>
        <v>3.7496396215811059</v>
      </c>
      <c r="I50" s="104">
        <f>('COMPOS CART'!I50/'COMPOS CART'!I$8)*100</f>
        <v>2.7944572310440239</v>
      </c>
      <c r="J50" s="104">
        <f>('COMPOS CART'!J50/'COMPOS CART'!J$8)*100</f>
        <v>2.9093162283670977</v>
      </c>
      <c r="K50" s="105">
        <f>('COMPOS CART'!K50/'COMPOS CART'!K$8)*100</f>
        <v>0</v>
      </c>
    </row>
    <row r="51" spans="2:11" x14ac:dyDescent="0.2">
      <c r="B51" s="20">
        <f>+BALANCE!B309</f>
        <v>1450</v>
      </c>
      <c r="C51" s="21" t="str">
        <f>+BALANCE!C309</f>
        <v>Cartera de créditos de consumo vencida</v>
      </c>
      <c r="D51" s="104">
        <f>('COMPOS CART'!D51/'COMPOS CART'!D$8)*100</f>
        <v>0</v>
      </c>
      <c r="E51" s="104">
        <f>('COMPOS CART'!E51/'COMPOS CART'!E$8)*100</f>
        <v>0</v>
      </c>
      <c r="F51" s="104">
        <f>('COMPOS CART'!F51/'COMPOS CART'!F$8)*100</f>
        <v>0</v>
      </c>
      <c r="G51" s="104">
        <f>('COMPOS CART'!G51/'COMPOS CART'!G$8)*100</f>
        <v>0.15384528846175233</v>
      </c>
      <c r="H51" s="104">
        <f>('COMPOS CART'!H51/'COMPOS CART'!H$8)*100</f>
        <v>0</v>
      </c>
      <c r="I51" s="104">
        <f>('COMPOS CART'!I51/'COMPOS CART'!I$8)*100</f>
        <v>4.6358327505029634E-2</v>
      </c>
      <c r="J51" s="104">
        <f>('COMPOS CART'!J51/'COMPOS CART'!J$8)*100</f>
        <v>4.3676407223753703E-2</v>
      </c>
      <c r="K51" s="105">
        <f>('COMPOS CART'!K51/'COMPOS CART'!K$8)*100</f>
        <v>0</v>
      </c>
    </row>
    <row r="52" spans="2:11" x14ac:dyDescent="0.2">
      <c r="B52" s="20">
        <f>+BALANCE!B315</f>
        <v>1451</v>
      </c>
      <c r="C52" s="21" t="str">
        <f>+BALANCE!C315</f>
        <v>Cartera de créditos de vivienda vencida</v>
      </c>
      <c r="D52" s="104">
        <f>('COMPOS CART'!D52/'COMPOS CART'!D$8)*100</f>
        <v>2.9654822092235703E-2</v>
      </c>
      <c r="E52" s="104">
        <f>('COMPOS CART'!E52/'COMPOS CART'!E$8)*100</f>
        <v>2.9654822092235703E-2</v>
      </c>
      <c r="F52" s="104">
        <f>('COMPOS CART'!F52/'COMPOS CART'!F$8)*100</f>
        <v>0</v>
      </c>
      <c r="G52" s="104">
        <f>('COMPOS CART'!G52/'COMPOS CART'!G$8)*100</f>
        <v>0</v>
      </c>
      <c r="H52" s="104">
        <f>('COMPOS CART'!H52/'COMPOS CART'!H$8)*100</f>
        <v>0</v>
      </c>
      <c r="I52" s="104">
        <f>('COMPOS CART'!I52/'COMPOS CART'!I$8)*100</f>
        <v>0</v>
      </c>
      <c r="J52" s="104">
        <f>('COMPOS CART'!J52/'COMPOS CART'!J$8)*100</f>
        <v>1.7155896920174197E-3</v>
      </c>
      <c r="K52" s="105">
        <f>('COMPOS CART'!K52/'COMPOS CART'!K$8)*100</f>
        <v>0</v>
      </c>
    </row>
    <row r="53" spans="2:11" x14ac:dyDescent="0.2">
      <c r="B53" s="20">
        <f>+BALANCE!B322</f>
        <v>1452</v>
      </c>
      <c r="C53" s="21" t="str">
        <f>+BALANCE!C322</f>
        <v>Cartera de créditos para la microempresa vencida</v>
      </c>
      <c r="D53" s="104">
        <f>('COMPOS CART'!D53/'COMPOS CART'!D$8)*100</f>
        <v>0</v>
      </c>
      <c r="E53" s="104">
        <f>('COMPOS CART'!E53/'COMPOS CART'!E$8)*100</f>
        <v>0</v>
      </c>
      <c r="F53" s="104">
        <f>('COMPOS CART'!F53/'COMPOS CART'!F$8)*100</f>
        <v>0</v>
      </c>
      <c r="G53" s="104">
        <f>('COMPOS CART'!G53/'COMPOS CART'!G$8)*100</f>
        <v>0.30056061290833463</v>
      </c>
      <c r="H53" s="104">
        <f>('COMPOS CART'!H53/'COMPOS CART'!H$8)*100</f>
        <v>5.7333100501372573E-2</v>
      </c>
      <c r="I53" s="104">
        <f>('COMPOS CART'!I53/'COMPOS CART'!I$8)*100</f>
        <v>0.11291401950530955</v>
      </c>
      <c r="J53" s="104">
        <f>('COMPOS CART'!J53/'COMPOS CART'!J$8)*100</f>
        <v>0.10638172174459286</v>
      </c>
      <c r="K53" s="105">
        <f>('COMPOS CART'!K53/'COMPOS CART'!K$8)*100</f>
        <v>0</v>
      </c>
    </row>
    <row r="54" spans="2:11" x14ac:dyDescent="0.2">
      <c r="B54" s="20">
        <f>+BALANCE!B328</f>
        <v>1453</v>
      </c>
      <c r="C54" s="21" t="str">
        <f>+BALANCE!C328</f>
        <v>Cartera de crédito educativo vencida</v>
      </c>
      <c r="D54" s="104">
        <f>('COMPOS CART'!D54/'COMPOS CART'!D$8)*100</f>
        <v>0</v>
      </c>
      <c r="E54" s="104">
        <f>('COMPOS CART'!E54/'COMPOS CART'!E$8)*100</f>
        <v>0</v>
      </c>
      <c r="F54" s="104">
        <f>('COMPOS CART'!F54/'COMPOS CART'!F$8)*100</f>
        <v>0</v>
      </c>
      <c r="G54" s="104">
        <f>('COMPOS CART'!G54/'COMPOS CART'!G$8)*100</f>
        <v>0</v>
      </c>
      <c r="H54" s="104">
        <f>('COMPOS CART'!H54/'COMPOS CART'!H$8)*100</f>
        <v>0</v>
      </c>
      <c r="I54" s="104">
        <f>('COMPOS CART'!I54/'COMPOS CART'!I$8)*100</f>
        <v>0</v>
      </c>
      <c r="J54" s="104">
        <f>('COMPOS CART'!J54/'COMPOS CART'!J$8)*100</f>
        <v>0</v>
      </c>
      <c r="K54" s="105">
        <f>('COMPOS CART'!K54/'COMPOS CART'!K$8)*100</f>
        <v>4.3120143794585148</v>
      </c>
    </row>
    <row r="55" spans="2:11" x14ac:dyDescent="0.2">
      <c r="B55" s="20">
        <f>+BALANCE!B334</f>
        <v>1454</v>
      </c>
      <c r="C55" s="21" t="str">
        <f>+BALANCE!C334</f>
        <v>Cartera de créditos de inversión pública vencida</v>
      </c>
      <c r="D55" s="104">
        <f>('COMPOS CART'!D55/'COMPOS CART'!D$8)*100</f>
        <v>0</v>
      </c>
      <c r="E55" s="104">
        <f>('COMPOS CART'!E55/'COMPOS CART'!E$8)*100</f>
        <v>0</v>
      </c>
      <c r="F55" s="104">
        <f>('COMPOS CART'!F55/'COMPOS CART'!F$8)*100</f>
        <v>1.9008960509456618E-3</v>
      </c>
      <c r="G55" s="104">
        <f>('COMPOS CART'!G55/'COMPOS CART'!G$8)*100</f>
        <v>0</v>
      </c>
      <c r="H55" s="104">
        <f>('COMPOS CART'!H55/'COMPOS CART'!H$8)*100</f>
        <v>0</v>
      </c>
      <c r="I55" s="104">
        <f>('COMPOS CART'!I55/'COMPOS CART'!I$8)*100</f>
        <v>5.8721440610875033E-4</v>
      </c>
      <c r="J55" s="104">
        <f>('COMPOS CART'!J55/'COMPOS CART'!J$8)*100</f>
        <v>5.5324289958644116E-4</v>
      </c>
      <c r="K55" s="105">
        <f>('COMPOS CART'!K55/'COMPOS CART'!K$8)*100</f>
        <v>0</v>
      </c>
    </row>
    <row r="56" spans="2:11" x14ac:dyDescent="0.2">
      <c r="B56" s="20">
        <f>+BALANCE!B340</f>
        <v>1457</v>
      </c>
      <c r="C56" s="21" t="str">
        <f>+BALANCE!C340</f>
        <v>Cartera de créditos comercial refinanciada vencida</v>
      </c>
      <c r="D56" s="104">
        <f>('COMPOS CART'!D56/'COMPOS CART'!D$8)*100</f>
        <v>0</v>
      </c>
      <c r="E56" s="104">
        <f>('COMPOS CART'!E56/'COMPOS CART'!E$8)*100</f>
        <v>0</v>
      </c>
      <c r="F56" s="104">
        <f>('COMPOS CART'!F56/'COMPOS CART'!F$8)*100</f>
        <v>0</v>
      </c>
      <c r="G56" s="104">
        <f>('COMPOS CART'!G56/'COMPOS CART'!G$8)*100</f>
        <v>0</v>
      </c>
      <c r="H56" s="104">
        <f>('COMPOS CART'!H56/'COMPOS CART'!H$8)*100</f>
        <v>0</v>
      </c>
      <c r="I56" s="104">
        <f>('COMPOS CART'!I56/'COMPOS CART'!I$8)*100</f>
        <v>0</v>
      </c>
      <c r="J56" s="104">
        <f>('COMPOS CART'!J56/'COMPOS CART'!J$8)*100</f>
        <v>0</v>
      </c>
      <c r="K56" s="105">
        <f>('COMPOS CART'!K56/'COMPOS CART'!K$8)*100</f>
        <v>0</v>
      </c>
    </row>
    <row r="57" spans="2:11" x14ac:dyDescent="0.2">
      <c r="B57" s="20">
        <f>+BALANCE!B346</f>
        <v>1458</v>
      </c>
      <c r="C57" s="21" t="str">
        <f>+BALANCE!C346</f>
        <v>Cartera de créditos de consumo refinanciada vencida</v>
      </c>
      <c r="D57" s="104">
        <f>('COMPOS CART'!D57/'COMPOS CART'!D$8)*100</f>
        <v>0</v>
      </c>
      <c r="E57" s="104">
        <f>('COMPOS CART'!E57/'COMPOS CART'!E$8)*100</f>
        <v>0</v>
      </c>
      <c r="F57" s="104">
        <f>('COMPOS CART'!F57/'COMPOS CART'!F$8)*100</f>
        <v>0</v>
      </c>
      <c r="G57" s="104">
        <f>('COMPOS CART'!G57/'COMPOS CART'!G$8)*100</f>
        <v>0</v>
      </c>
      <c r="H57" s="104">
        <f>('COMPOS CART'!H57/'COMPOS CART'!H$8)*100</f>
        <v>0</v>
      </c>
      <c r="I57" s="104">
        <f>('COMPOS CART'!I57/'COMPOS CART'!I$8)*100</f>
        <v>0</v>
      </c>
      <c r="J57" s="104">
        <f>('COMPOS CART'!J57/'COMPOS CART'!J$8)*100</f>
        <v>0</v>
      </c>
      <c r="K57" s="105">
        <f>('COMPOS CART'!K57/'COMPOS CART'!K$8)*100</f>
        <v>0</v>
      </c>
    </row>
    <row r="58" spans="2:11" x14ac:dyDescent="0.2">
      <c r="B58" s="20">
        <f>+BALANCE!B352</f>
        <v>1459</v>
      </c>
      <c r="C58" s="21" t="str">
        <f>+BALANCE!C352</f>
        <v>Cartera de créditos de vivienda refinanciada vencida</v>
      </c>
      <c r="D58" s="104">
        <f>('COMPOS CART'!D58/'COMPOS CART'!D$8)*100</f>
        <v>0</v>
      </c>
      <c r="E58" s="104">
        <f>('COMPOS CART'!E58/'COMPOS CART'!E$8)*100</f>
        <v>0</v>
      </c>
      <c r="F58" s="104">
        <f>('COMPOS CART'!F58/'COMPOS CART'!F$8)*100</f>
        <v>0</v>
      </c>
      <c r="G58" s="104">
        <f>('COMPOS CART'!G58/'COMPOS CART'!G$8)*100</f>
        <v>0</v>
      </c>
      <c r="H58" s="104">
        <f>('COMPOS CART'!H58/'COMPOS CART'!H$8)*100</f>
        <v>0</v>
      </c>
      <c r="I58" s="104">
        <f>('COMPOS CART'!I58/'COMPOS CART'!I$8)*100</f>
        <v>0</v>
      </c>
      <c r="J58" s="104">
        <f>('COMPOS CART'!J58/'COMPOS CART'!J$8)*100</f>
        <v>0</v>
      </c>
      <c r="K58" s="105">
        <f>('COMPOS CART'!K58/'COMPOS CART'!K$8)*100</f>
        <v>0</v>
      </c>
    </row>
    <row r="59" spans="2:11" x14ac:dyDescent="0.2">
      <c r="B59" s="20">
        <f>+BALANCE!B359</f>
        <v>1460</v>
      </c>
      <c r="C59" s="21" t="str">
        <f>+BALANCE!C359</f>
        <v>Cartera de créditos para la microempresa refinanciada vencida</v>
      </c>
      <c r="D59" s="104">
        <f>('COMPOS CART'!D59/'COMPOS CART'!D$8)*100</f>
        <v>0</v>
      </c>
      <c r="E59" s="104">
        <f>('COMPOS CART'!E59/'COMPOS CART'!E$8)*100</f>
        <v>0</v>
      </c>
      <c r="F59" s="104">
        <f>('COMPOS CART'!F59/'COMPOS CART'!F$8)*100</f>
        <v>0</v>
      </c>
      <c r="G59" s="104">
        <f>('COMPOS CART'!G59/'COMPOS CART'!G$8)*100</f>
        <v>0</v>
      </c>
      <c r="H59" s="104">
        <f>('COMPOS CART'!H59/'COMPOS CART'!H$8)*100</f>
        <v>0</v>
      </c>
      <c r="I59" s="104">
        <f>('COMPOS CART'!I59/'COMPOS CART'!I$8)*100</f>
        <v>0</v>
      </c>
      <c r="J59" s="104">
        <f>('COMPOS CART'!J59/'COMPOS CART'!J$8)*100</f>
        <v>0</v>
      </c>
      <c r="K59" s="105">
        <f>('COMPOS CART'!K59/'COMPOS CART'!K$8)*100</f>
        <v>0</v>
      </c>
    </row>
    <row r="60" spans="2:11" x14ac:dyDescent="0.2">
      <c r="B60" s="20">
        <f>+BALANCE!B365</f>
        <v>1461</v>
      </c>
      <c r="C60" s="21" t="str">
        <f>+BALANCE!C365</f>
        <v>Cartera de crédito educativo refinanciada vencida</v>
      </c>
      <c r="D60" s="104">
        <f>('COMPOS CART'!D60/'COMPOS CART'!D$8)*100</f>
        <v>0</v>
      </c>
      <c r="E60" s="104">
        <f>('COMPOS CART'!E60/'COMPOS CART'!E$8)*100</f>
        <v>0</v>
      </c>
      <c r="F60" s="104">
        <f>('COMPOS CART'!F60/'COMPOS CART'!F$8)*100</f>
        <v>0</v>
      </c>
      <c r="G60" s="104">
        <f>('COMPOS CART'!G60/'COMPOS CART'!G$8)*100</f>
        <v>0</v>
      </c>
      <c r="H60" s="104">
        <f>('COMPOS CART'!H60/'COMPOS CART'!H$8)*100</f>
        <v>0</v>
      </c>
      <c r="I60" s="104">
        <f>('COMPOS CART'!I60/'COMPOS CART'!I$8)*100</f>
        <v>0</v>
      </c>
      <c r="J60" s="104">
        <f>('COMPOS CART'!J60/'COMPOS CART'!J$8)*100</f>
        <v>0</v>
      </c>
      <c r="K60" s="105">
        <f>('COMPOS CART'!K60/'COMPOS CART'!K$8)*100</f>
        <v>0</v>
      </c>
    </row>
    <row r="61" spans="2:11" x14ac:dyDescent="0.2">
      <c r="B61" s="20">
        <f>+BALANCE!B371</f>
        <v>1462</v>
      </c>
      <c r="C61" s="21" t="str">
        <f>+BALANCE!C371</f>
        <v>Cartera de créditos de inversión pública refinanciada vencida</v>
      </c>
      <c r="D61" s="104">
        <f>('COMPOS CART'!D61/'COMPOS CART'!D$8)*100</f>
        <v>0</v>
      </c>
      <c r="E61" s="104">
        <f>('COMPOS CART'!E61/'COMPOS CART'!E$8)*100</f>
        <v>0</v>
      </c>
      <c r="F61" s="104">
        <f>('COMPOS CART'!F61/'COMPOS CART'!F$8)*100</f>
        <v>0</v>
      </c>
      <c r="G61" s="104">
        <f>('COMPOS CART'!G61/'COMPOS CART'!G$8)*100</f>
        <v>0</v>
      </c>
      <c r="H61" s="104">
        <f>('COMPOS CART'!H61/'COMPOS CART'!H$8)*100</f>
        <v>0</v>
      </c>
      <c r="I61" s="104">
        <f>('COMPOS CART'!I61/'COMPOS CART'!I$8)*100</f>
        <v>0</v>
      </c>
      <c r="J61" s="104">
        <f>('COMPOS CART'!J61/'COMPOS CART'!J$8)*100</f>
        <v>0</v>
      </c>
      <c r="K61" s="105">
        <f>('COMPOS CART'!K61/'COMPOS CART'!K$8)*100</f>
        <v>0</v>
      </c>
    </row>
    <row r="62" spans="2:11" x14ac:dyDescent="0.2">
      <c r="B62" s="20">
        <f>+BALANCE!B377</f>
        <v>1465</v>
      </c>
      <c r="C62" s="21" t="str">
        <f>+BALANCE!C377</f>
        <v>Cartera de créditos comercial reestructurada vencida</v>
      </c>
      <c r="D62" s="104">
        <f>('COMPOS CART'!D62/'COMPOS CART'!D$8)*100</f>
        <v>0</v>
      </c>
      <c r="E62" s="104">
        <f>('COMPOS CART'!E62/'COMPOS CART'!E$8)*100</f>
        <v>0</v>
      </c>
      <c r="F62" s="104">
        <f>('COMPOS CART'!F62/'COMPOS CART'!F$8)*100</f>
        <v>0</v>
      </c>
      <c r="G62" s="104">
        <f>('COMPOS CART'!G62/'COMPOS CART'!G$8)*100</f>
        <v>1.2326482328029638</v>
      </c>
      <c r="H62" s="104">
        <f>('COMPOS CART'!H62/'COMPOS CART'!H$8)*100</f>
        <v>7.9524108516374009E-2</v>
      </c>
      <c r="I62" s="104">
        <f>('COMPOS CART'!I62/'COMPOS CART'!I$8)*100</f>
        <v>0.40242979835793025</v>
      </c>
      <c r="J62" s="104">
        <f>('COMPOS CART'!J62/'COMPOS CART'!J$8)*100</f>
        <v>0.37914844426057159</v>
      </c>
      <c r="K62" s="105">
        <f>('COMPOS CART'!K62/'COMPOS CART'!K$8)*100</f>
        <v>0</v>
      </c>
    </row>
    <row r="63" spans="2:11" x14ac:dyDescent="0.2">
      <c r="B63" s="20">
        <f>+BALANCE!B383</f>
        <v>1466</v>
      </c>
      <c r="C63" s="21" t="str">
        <f>+BALANCE!C383</f>
        <v>Cartera de créditos de consumo reestructurada vencida</v>
      </c>
      <c r="D63" s="104">
        <f>('COMPOS CART'!D63/'COMPOS CART'!D$8)*100</f>
        <v>0</v>
      </c>
      <c r="E63" s="104">
        <f>('COMPOS CART'!E63/'COMPOS CART'!E$8)*100</f>
        <v>0</v>
      </c>
      <c r="F63" s="104">
        <f>('COMPOS CART'!F63/'COMPOS CART'!F$8)*100</f>
        <v>0</v>
      </c>
      <c r="G63" s="104">
        <f>('COMPOS CART'!G63/'COMPOS CART'!G$8)*100</f>
        <v>8.9815213254675081E-3</v>
      </c>
      <c r="H63" s="104">
        <f>('COMPOS CART'!H63/'COMPOS CART'!H$8)*100</f>
        <v>0</v>
      </c>
      <c r="I63" s="104">
        <f>('COMPOS CART'!I63/'COMPOS CART'!I$8)*100</f>
        <v>2.7064092196943971E-3</v>
      </c>
      <c r="J63" s="104">
        <f>('COMPOS CART'!J63/'COMPOS CART'!J$8)*100</f>
        <v>2.5498381316856012E-3</v>
      </c>
      <c r="K63" s="105">
        <f>('COMPOS CART'!K63/'COMPOS CART'!K$8)*100</f>
        <v>0</v>
      </c>
    </row>
    <row r="64" spans="2:11" x14ac:dyDescent="0.2">
      <c r="B64" s="20">
        <f>+BALANCE!B389</f>
        <v>1467</v>
      </c>
      <c r="C64" s="21" t="str">
        <f>+BALANCE!C389</f>
        <v>Cartera de créditos de vivienda reestructurada vencida</v>
      </c>
      <c r="D64" s="104">
        <f>('COMPOS CART'!D64/'COMPOS CART'!D$8)*100</f>
        <v>2.5870646196082632E-3</v>
      </c>
      <c r="E64" s="104">
        <f>('COMPOS CART'!E64/'COMPOS CART'!E$8)*100</f>
        <v>2.5870646196082632E-3</v>
      </c>
      <c r="F64" s="104">
        <f>('COMPOS CART'!F64/'COMPOS CART'!F$8)*100</f>
        <v>0</v>
      </c>
      <c r="G64" s="104">
        <f>('COMPOS CART'!G64/'COMPOS CART'!G$8)*100</f>
        <v>0</v>
      </c>
      <c r="H64" s="104">
        <f>('COMPOS CART'!H64/'COMPOS CART'!H$8)*100</f>
        <v>0</v>
      </c>
      <c r="I64" s="104">
        <f>('COMPOS CART'!I64/'COMPOS CART'!I$8)*100</f>
        <v>0</v>
      </c>
      <c r="J64" s="104">
        <f>('COMPOS CART'!J64/'COMPOS CART'!J$8)*100</f>
        <v>1.4966676853357214E-4</v>
      </c>
      <c r="K64" s="105">
        <f>('COMPOS CART'!K64/'COMPOS CART'!K$8)*100</f>
        <v>0</v>
      </c>
    </row>
    <row r="65" spans="2:11" x14ac:dyDescent="0.2">
      <c r="B65" s="20">
        <f>+BALANCE!B396</f>
        <v>1468</v>
      </c>
      <c r="C65" s="21" t="str">
        <f>+BALANCE!C396</f>
        <v>Cartera de créditos para la microempresa reestructurada vencida</v>
      </c>
      <c r="D65" s="104">
        <f>('COMPOS CART'!D65/'COMPOS CART'!D$8)*100</f>
        <v>0</v>
      </c>
      <c r="E65" s="104">
        <f>('COMPOS CART'!E65/'COMPOS CART'!E$8)*100</f>
        <v>0</v>
      </c>
      <c r="F65" s="104">
        <f>('COMPOS CART'!F65/'COMPOS CART'!F$8)*100</f>
        <v>0</v>
      </c>
      <c r="G65" s="104">
        <f>('COMPOS CART'!G65/'COMPOS CART'!G$8)*100</f>
        <v>1.5212752371309975E-2</v>
      </c>
      <c r="H65" s="104">
        <f>('COMPOS CART'!H65/'COMPOS CART'!H$8)*100</f>
        <v>0</v>
      </c>
      <c r="I65" s="104">
        <f>('COMPOS CART'!I65/'COMPOS CART'!I$8)*100</f>
        <v>4.5840712038278239E-3</v>
      </c>
      <c r="J65" s="104">
        <f>('COMPOS CART'!J65/'COMPOS CART'!J$8)*100</f>
        <v>4.3188736828209465E-3</v>
      </c>
      <c r="K65" s="105">
        <f>('COMPOS CART'!K65/'COMPOS CART'!K$8)*100</f>
        <v>0</v>
      </c>
    </row>
    <row r="66" spans="2:11" x14ac:dyDescent="0.2">
      <c r="B66" s="20">
        <f>+BALANCE!B402</f>
        <v>1469</v>
      </c>
      <c r="C66" s="21" t="str">
        <f>+BALANCE!C402</f>
        <v>Cartera de crédito educativo reestructurada vencida</v>
      </c>
      <c r="D66" s="104">
        <f>('COMPOS CART'!D66/'COMPOS CART'!D$8)*100</f>
        <v>0</v>
      </c>
      <c r="E66" s="104">
        <f>('COMPOS CART'!E66/'COMPOS CART'!E$8)*100</f>
        <v>0</v>
      </c>
      <c r="F66" s="104">
        <f>('COMPOS CART'!F66/'COMPOS CART'!F$8)*100</f>
        <v>0</v>
      </c>
      <c r="G66" s="104">
        <f>('COMPOS CART'!G66/'COMPOS CART'!G$8)*100</f>
        <v>0</v>
      </c>
      <c r="H66" s="104">
        <f>('COMPOS CART'!H66/'COMPOS CART'!H$8)*100</f>
        <v>0</v>
      </c>
      <c r="I66" s="104">
        <f>('COMPOS CART'!I66/'COMPOS CART'!I$8)*100</f>
        <v>0</v>
      </c>
      <c r="J66" s="104">
        <f>('COMPOS CART'!J66/'COMPOS CART'!J$8)*100</f>
        <v>0</v>
      </c>
      <c r="K66" s="105">
        <f>('COMPOS CART'!K66/'COMPOS CART'!K$8)*100</f>
        <v>0</v>
      </c>
    </row>
    <row r="67" spans="2:11" x14ac:dyDescent="0.2">
      <c r="B67" s="20">
        <f>+BALANCE!B408</f>
        <v>1470</v>
      </c>
      <c r="C67" s="21" t="str">
        <f>+BALANCE!C408</f>
        <v>Cartera de créditos de inversión pública reestructurada vencida</v>
      </c>
      <c r="D67" s="104">
        <f>('COMPOS CART'!D67/'COMPOS CART'!D$8)*100</f>
        <v>0</v>
      </c>
      <c r="E67" s="104">
        <f>('COMPOS CART'!E67/'COMPOS CART'!E$8)*100</f>
        <v>0</v>
      </c>
      <c r="F67" s="104">
        <f>('COMPOS CART'!F67/'COMPOS CART'!F$8)*100</f>
        <v>0</v>
      </c>
      <c r="G67" s="104">
        <f>('COMPOS CART'!G67/'COMPOS CART'!G$8)*100</f>
        <v>0</v>
      </c>
      <c r="H67" s="104">
        <f>('COMPOS CART'!H67/'COMPOS CART'!H$8)*100</f>
        <v>0</v>
      </c>
      <c r="I67" s="104">
        <f>('COMPOS CART'!I67/'COMPOS CART'!I$8)*100</f>
        <v>0</v>
      </c>
      <c r="J67" s="104">
        <f>('COMPOS CART'!J67/'COMPOS CART'!J$8)*100</f>
        <v>0</v>
      </c>
      <c r="K67" s="105">
        <f>('COMPOS CART'!K67/'COMPOS CART'!K$8)*100</f>
        <v>0</v>
      </c>
    </row>
    <row r="68" spans="2:11" ht="15" x14ac:dyDescent="0.25">
      <c r="B68" s="20"/>
      <c r="C68" s="24" t="s">
        <v>606</v>
      </c>
      <c r="D68" s="124">
        <f>('COMPOS CART'!D68/'COMPOS CART'!D$8)*100</f>
        <v>4.8120940797079585</v>
      </c>
      <c r="E68" s="124">
        <f>('COMPOS CART'!E68/'COMPOS CART'!E$8)*100</f>
        <v>4.8120940797079585</v>
      </c>
      <c r="F68" s="124">
        <f>('COMPOS CART'!F68/'COMPOS CART'!F$8)*100</f>
        <v>1.9008960509456618E-3</v>
      </c>
      <c r="G68" s="124">
        <f>('COMPOS CART'!G68/'COMPOS CART'!G$8)*100</f>
        <v>6.1350167505286191</v>
      </c>
      <c r="H68" s="124">
        <f>('COMPOS CART'!H68/'COMPOS CART'!H$8)*100</f>
        <v>3.8864968305988534</v>
      </c>
      <c r="I68" s="124">
        <f>('COMPOS CART'!I68/'COMPOS CART'!I$8)*100</f>
        <v>3.3640370712419245</v>
      </c>
      <c r="J68" s="124">
        <f>('COMPOS CART'!J68/'COMPOS CART'!J$8)*100</f>
        <v>3.4478100127706601</v>
      </c>
      <c r="K68" s="125">
        <f>('COMPOS CART'!K68/'COMPOS CART'!K$8)*100</f>
        <v>4.3120143794585148</v>
      </c>
    </row>
    <row r="69" spans="2:11" x14ac:dyDescent="0.2">
      <c r="B69" s="20"/>
      <c r="C69" s="21"/>
      <c r="D69" s="104"/>
      <c r="E69" s="104"/>
      <c r="F69" s="104"/>
      <c r="G69" s="104"/>
      <c r="H69" s="104"/>
      <c r="I69" s="104"/>
      <c r="J69" s="104"/>
      <c r="K69" s="105"/>
    </row>
    <row r="70" spans="2:11" ht="15" x14ac:dyDescent="0.25">
      <c r="B70" s="23">
        <f>+BALANCE!B414</f>
        <v>1499</v>
      </c>
      <c r="C70" s="24" t="str">
        <f>+BALANCE!C414</f>
        <v>(Provisiones para créditos incobrables)</v>
      </c>
      <c r="D70" s="124">
        <f>('COMPOS CART'!D70/'COMPOS CART'!D$8)*100</f>
        <v>-8.7895808220110823</v>
      </c>
      <c r="E70" s="124">
        <f>('COMPOS CART'!E70/'COMPOS CART'!E$8)*100</f>
        <v>-8.7895808220110823</v>
      </c>
      <c r="F70" s="124">
        <f>('COMPOS CART'!F70/'COMPOS CART'!F$8)*100</f>
        <v>-1.1793394616949788</v>
      </c>
      <c r="G70" s="124">
        <f>('COMPOS CART'!G70/'COMPOS CART'!G$8)*100</f>
        <v>-11.4522619926078</v>
      </c>
      <c r="H70" s="124">
        <f>('COMPOS CART'!H70/'COMPOS CART'!H$8)*100</f>
        <v>-6.2416750201788451</v>
      </c>
      <c r="I70" s="124">
        <f>('COMPOS CART'!I70/'COMPOS CART'!I$8)*100</f>
        <v>-6.2479564859254744</v>
      </c>
      <c r="J70" s="124">
        <f>('COMPOS CART'!J70/'COMPOS CART'!J$8)*100</f>
        <v>-6.3949944448249392</v>
      </c>
      <c r="K70" s="125">
        <f>('COMPOS CART'!K70/'COMPOS CART'!K$8)*100</f>
        <v>-5.0373068569855945</v>
      </c>
    </row>
    <row r="71" spans="2:11" x14ac:dyDescent="0.2">
      <c r="B71" s="25"/>
      <c r="C71" s="26"/>
      <c r="D71" s="126"/>
      <c r="E71" s="126"/>
      <c r="F71" s="126"/>
      <c r="G71" s="126"/>
      <c r="H71" s="126"/>
      <c r="I71" s="126"/>
      <c r="J71" s="126"/>
      <c r="K71" s="127"/>
    </row>
    <row r="72" spans="2:11" x14ac:dyDescent="0.2">
      <c r="B72" s="74"/>
      <c r="C72" s="62"/>
      <c r="D72" s="128"/>
      <c r="E72" s="128"/>
      <c r="F72" s="128"/>
      <c r="G72" s="128"/>
      <c r="H72" s="128"/>
      <c r="I72" s="128"/>
      <c r="J72" s="128"/>
      <c r="K72" s="129"/>
    </row>
    <row r="73" spans="2:11" x14ac:dyDescent="0.2">
      <c r="B73" s="20"/>
      <c r="C73" s="119" t="s">
        <v>762</v>
      </c>
      <c r="D73" s="104">
        <f>('COMPOS CART'!D73/'COMPOS CART'!D$79)*100</f>
        <v>90.443332762361678</v>
      </c>
      <c r="E73" s="104">
        <f>('COMPOS CART'!E73/'COMPOS CART'!E$79)*100</f>
        <v>90.443332762361678</v>
      </c>
      <c r="F73" s="104">
        <f>('COMPOS CART'!F73/'COMPOS CART'!F$79)*100</f>
        <v>0</v>
      </c>
      <c r="G73" s="104">
        <f>('COMPOS CART'!G73/'COMPOS CART'!G$79)*100</f>
        <v>64.21383841341823</v>
      </c>
      <c r="H73" s="104">
        <f>('COMPOS CART'!H73/'COMPOS CART'!H$79)*100</f>
        <v>97.616849886232998</v>
      </c>
      <c r="I73" s="104">
        <f>('COMPOS CART'!I73/'COMPOS CART'!I$79)*100</f>
        <v>55.996380587631315</v>
      </c>
      <c r="J73" s="104">
        <f>('COMPOS CART'!J73/'COMPOS CART'!J$79)*100</f>
        <v>57.885050775996248</v>
      </c>
      <c r="K73" s="105">
        <f>('COMPOS CART'!K73/'COMPOS CART'!K$79)*100</f>
        <v>0</v>
      </c>
    </row>
    <row r="74" spans="2:11" x14ac:dyDescent="0.2">
      <c r="B74" s="20"/>
      <c r="C74" s="119" t="s">
        <v>763</v>
      </c>
      <c r="D74" s="104">
        <f>('COMPOS CART'!D74/'COMPOS CART'!D$79)*100</f>
        <v>0</v>
      </c>
      <c r="E74" s="104">
        <f>('COMPOS CART'!E74/'COMPOS CART'!E$79)*100</f>
        <v>0</v>
      </c>
      <c r="F74" s="104">
        <f>('COMPOS CART'!F74/'COMPOS CART'!F$79)*100</f>
        <v>0</v>
      </c>
      <c r="G74" s="104">
        <f>('COMPOS CART'!G74/'COMPOS CART'!G$79)*100</f>
        <v>3.468685875109994</v>
      </c>
      <c r="H74" s="104">
        <f>('COMPOS CART'!H74/'COMPOS CART'!H$79)*100</f>
        <v>0</v>
      </c>
      <c r="I74" s="104">
        <f>('COMPOS CART'!I74/'COMPOS CART'!I$79)*100</f>
        <v>0.94609403926206526</v>
      </c>
      <c r="J74" s="104">
        <f>('COMPOS CART'!J74/'COMPOS CART'!J$79)*100</f>
        <v>0.89422124661903901</v>
      </c>
      <c r="K74" s="105">
        <f>('COMPOS CART'!K74/'COMPOS CART'!K$79)*100</f>
        <v>0</v>
      </c>
    </row>
    <row r="75" spans="2:11" x14ac:dyDescent="0.2">
      <c r="B75" s="20"/>
      <c r="C75" s="119" t="s">
        <v>764</v>
      </c>
      <c r="D75" s="104">
        <f>('COMPOS CART'!D75/'COMPOS CART'!D$79)*100</f>
        <v>9.556667237638333</v>
      </c>
      <c r="E75" s="104">
        <f>('COMPOS CART'!E75/'COMPOS CART'!E$79)*100</f>
        <v>9.556667237638333</v>
      </c>
      <c r="F75" s="104">
        <f>('COMPOS CART'!F75/'COMPOS CART'!F$79)*100</f>
        <v>0</v>
      </c>
      <c r="G75" s="104">
        <f>('COMPOS CART'!G75/'COMPOS CART'!G$79)*100</f>
        <v>0</v>
      </c>
      <c r="H75" s="104">
        <f>('COMPOS CART'!H75/'COMPOS CART'!H$79)*100</f>
        <v>0</v>
      </c>
      <c r="I75" s="104">
        <f>('COMPOS CART'!I75/'COMPOS CART'!I$79)*100</f>
        <v>0</v>
      </c>
      <c r="J75" s="104">
        <f>('COMPOS CART'!J75/'COMPOS CART'!J$79)*100</f>
        <v>0.52397647316653151</v>
      </c>
      <c r="K75" s="105">
        <f>('COMPOS CART'!K75/'COMPOS CART'!K$79)*100</f>
        <v>0</v>
      </c>
    </row>
    <row r="76" spans="2:11" x14ac:dyDescent="0.2">
      <c r="B76" s="20"/>
      <c r="C76" s="119" t="s">
        <v>765</v>
      </c>
      <c r="D76" s="104">
        <f>('COMPOS CART'!D76/'COMPOS CART'!D$79)*100</f>
        <v>0</v>
      </c>
      <c r="E76" s="104">
        <f>('COMPOS CART'!E76/'COMPOS CART'!E$79)*100</f>
        <v>0</v>
      </c>
      <c r="F76" s="104">
        <f>('COMPOS CART'!F76/'COMPOS CART'!F$79)*100</f>
        <v>0</v>
      </c>
      <c r="G76" s="104">
        <f>('COMPOS CART'!G76/'COMPOS CART'!G$79)*100</f>
        <v>32.317475711471779</v>
      </c>
      <c r="H76" s="104">
        <f>('COMPOS CART'!H76/'COMPOS CART'!H$79)*100</f>
        <v>2.3831501137669875</v>
      </c>
      <c r="I76" s="104">
        <f>('COMPOS CART'!I76/'COMPOS CART'!I$79)*100</f>
        <v>9.7541541026827794</v>
      </c>
      <c r="J76" s="104">
        <f>('COMPOS CART'!J76/'COMPOS CART'!J$79)*100</f>
        <v>9.2193497469009387</v>
      </c>
      <c r="K76" s="105">
        <f>('COMPOS CART'!K76/'COMPOS CART'!K$79)*100</f>
        <v>0</v>
      </c>
    </row>
    <row r="77" spans="2:11" x14ac:dyDescent="0.2">
      <c r="B77" s="20"/>
      <c r="C77" s="119" t="s">
        <v>766</v>
      </c>
      <c r="D77" s="104">
        <f>('COMPOS CART'!D77/'COMPOS CART'!D$79)*100</f>
        <v>0</v>
      </c>
      <c r="E77" s="104">
        <f>('COMPOS CART'!E77/'COMPOS CART'!E$79)*100</f>
        <v>0</v>
      </c>
      <c r="F77" s="104">
        <f>('COMPOS CART'!F77/'COMPOS CART'!F$79)*100</f>
        <v>0</v>
      </c>
      <c r="G77" s="104">
        <f>('COMPOS CART'!G77/'COMPOS CART'!G$79)*100</f>
        <v>0</v>
      </c>
      <c r="H77" s="104">
        <f>('COMPOS CART'!H77/'COMPOS CART'!H$79)*100</f>
        <v>0</v>
      </c>
      <c r="I77" s="104">
        <f>('COMPOS CART'!I77/'COMPOS CART'!I$79)*100</f>
        <v>0</v>
      </c>
      <c r="J77" s="104">
        <f>('COMPOS CART'!J77/'COMPOS CART'!J$79)*100</f>
        <v>0</v>
      </c>
      <c r="K77" s="105">
        <f>('COMPOS CART'!K77/'COMPOS CART'!K$79)*100</f>
        <v>100</v>
      </c>
    </row>
    <row r="78" spans="2:11" x14ac:dyDescent="0.2">
      <c r="B78" s="20"/>
      <c r="C78" s="119" t="s">
        <v>767</v>
      </c>
      <c r="D78" s="104">
        <f>('COMPOS CART'!D78/'COMPOS CART'!D$79)*100</f>
        <v>0</v>
      </c>
      <c r="E78" s="104">
        <f>('COMPOS CART'!E78/'COMPOS CART'!E$79)*100</f>
        <v>0</v>
      </c>
      <c r="F78" s="104">
        <f>('COMPOS CART'!F78/'COMPOS CART'!F$79)*100</f>
        <v>100</v>
      </c>
      <c r="G78" s="104">
        <f>('COMPOS CART'!G78/'COMPOS CART'!G$79)*100</f>
        <v>0</v>
      </c>
      <c r="H78" s="104">
        <f>('COMPOS CART'!H78/'COMPOS CART'!H$79)*100</f>
        <v>0</v>
      </c>
      <c r="I78" s="104">
        <f>('COMPOS CART'!I78/'COMPOS CART'!I$79)*100</f>
        <v>33.303371270423845</v>
      </c>
      <c r="J78" s="104">
        <f>('COMPOS CART'!J78/'COMPOS CART'!J$79)*100</f>
        <v>31.477401757317242</v>
      </c>
      <c r="K78" s="105">
        <f>('COMPOS CART'!K78/'COMPOS CART'!K$79)*100</f>
        <v>0</v>
      </c>
    </row>
    <row r="79" spans="2:11" ht="15" x14ac:dyDescent="0.25">
      <c r="B79" s="20"/>
      <c r="C79" s="120" t="s">
        <v>630</v>
      </c>
      <c r="D79" s="124">
        <f>('COMPOS CART'!D79/'COMPOS CART'!D$79)*100</f>
        <v>100</v>
      </c>
      <c r="E79" s="124">
        <f>('COMPOS CART'!E79/'COMPOS CART'!E$79)*100</f>
        <v>100</v>
      </c>
      <c r="F79" s="124">
        <f>('COMPOS CART'!F79/'COMPOS CART'!F$79)*100</f>
        <v>100</v>
      </c>
      <c r="G79" s="124">
        <f>('COMPOS CART'!G79/'COMPOS CART'!G$79)*100</f>
        <v>100</v>
      </c>
      <c r="H79" s="124">
        <f>('COMPOS CART'!H79/'COMPOS CART'!H$79)*100</f>
        <v>100</v>
      </c>
      <c r="I79" s="124">
        <f>('COMPOS CART'!I79/'COMPOS CART'!I$79)*100</f>
        <v>100</v>
      </c>
      <c r="J79" s="124">
        <f>('COMPOS CART'!J79/'COMPOS CART'!J$79)*100</f>
        <v>100</v>
      </c>
      <c r="K79" s="125">
        <f>('COMPOS CART'!K79/'COMPOS CART'!K$79)*100</f>
        <v>100</v>
      </c>
    </row>
    <row r="80" spans="2:11" x14ac:dyDescent="0.2">
      <c r="B80" s="20"/>
      <c r="C80" s="21"/>
      <c r="D80" s="104"/>
      <c r="E80" s="104"/>
      <c r="F80" s="104"/>
      <c r="G80" s="104"/>
      <c r="H80" s="104"/>
      <c r="I80" s="104"/>
      <c r="J80" s="104"/>
      <c r="K80" s="105"/>
    </row>
    <row r="81" spans="2:11" x14ac:dyDescent="0.2">
      <c r="B81" s="20"/>
      <c r="C81" s="119" t="s">
        <v>768</v>
      </c>
      <c r="D81" s="104">
        <f>('COMPOS CART'!D81/'COMPOS CART'!D$87)*100</f>
        <v>96.042813140076277</v>
      </c>
      <c r="E81" s="104">
        <f>('COMPOS CART'!E81/'COMPOS CART'!E$87)*100</f>
        <v>96.042813140076277</v>
      </c>
      <c r="F81" s="104">
        <f>('COMPOS CART'!F81/'COMPOS CART'!F$87)*100</f>
        <v>0</v>
      </c>
      <c r="G81" s="104">
        <f>('COMPOS CART'!G81/'COMPOS CART'!G$87)*100</f>
        <v>85.379472009962299</v>
      </c>
      <c r="H81" s="104">
        <f>('COMPOS CART'!H81/'COMPOS CART'!H$87)*100</f>
        <v>93.64318741228027</v>
      </c>
      <c r="I81" s="104">
        <f>('COMPOS CART'!I81/'COMPOS CART'!I$87)*100</f>
        <v>88.049114253209424</v>
      </c>
      <c r="J81" s="104">
        <f>('COMPOS CART'!J81/'COMPOS CART'!J$87)*100</f>
        <v>88.807120118323894</v>
      </c>
      <c r="K81" s="105">
        <f>('COMPOS CART'!K81/'COMPOS CART'!K$87)*100</f>
        <v>0</v>
      </c>
    </row>
    <row r="82" spans="2:11" x14ac:dyDescent="0.2">
      <c r="B82" s="20"/>
      <c r="C82" s="119" t="s">
        <v>769</v>
      </c>
      <c r="D82" s="104">
        <f>('COMPOS CART'!D82/'COMPOS CART'!D$87)*100</f>
        <v>0</v>
      </c>
      <c r="E82" s="104">
        <f>('COMPOS CART'!E82/'COMPOS CART'!E$87)*100</f>
        <v>0</v>
      </c>
      <c r="F82" s="104">
        <f>('COMPOS CART'!F82/'COMPOS CART'!F$87)*100</f>
        <v>0</v>
      </c>
      <c r="G82" s="104">
        <f>('COMPOS CART'!G82/'COMPOS CART'!G$87)*100</f>
        <v>3.8380219899130812</v>
      </c>
      <c r="H82" s="104">
        <f>('COMPOS CART'!H82/'COMPOS CART'!H$87)*100</f>
        <v>0</v>
      </c>
      <c r="I82" s="104">
        <f>('COMPOS CART'!I82/'COMPOS CART'!I$87)*100</f>
        <v>2.5570148815966514</v>
      </c>
      <c r="J82" s="104">
        <f>('COMPOS CART'!J82/'COMPOS CART'!J$87)*100</f>
        <v>2.3145448680438969</v>
      </c>
      <c r="K82" s="105">
        <f>('COMPOS CART'!K82/'COMPOS CART'!K$87)*100</f>
        <v>0</v>
      </c>
    </row>
    <row r="83" spans="2:11" x14ac:dyDescent="0.2">
      <c r="B83" s="20"/>
      <c r="C83" s="119" t="s">
        <v>770</v>
      </c>
      <c r="D83" s="104">
        <f>('COMPOS CART'!D83/'COMPOS CART'!D$87)*100</f>
        <v>3.9571868599237212</v>
      </c>
      <c r="E83" s="104">
        <f>('COMPOS CART'!E83/'COMPOS CART'!E$87)*100</f>
        <v>3.9571868599237212</v>
      </c>
      <c r="F83" s="104">
        <f>('COMPOS CART'!F83/'COMPOS CART'!F$87)*100</f>
        <v>0</v>
      </c>
      <c r="G83" s="104">
        <f>('COMPOS CART'!G83/'COMPOS CART'!G$87)*100</f>
        <v>0</v>
      </c>
      <c r="H83" s="104">
        <f>('COMPOS CART'!H83/'COMPOS CART'!H$87)*100</f>
        <v>0</v>
      </c>
      <c r="I83" s="104">
        <f>('COMPOS CART'!I83/'COMPOS CART'!I$87)*100</f>
        <v>0</v>
      </c>
      <c r="J83" s="104">
        <f>('COMPOS CART'!J83/'COMPOS CART'!J$87)*100</f>
        <v>0.37524191136398716</v>
      </c>
      <c r="K83" s="105">
        <f>('COMPOS CART'!K83/'COMPOS CART'!K$87)*100</f>
        <v>0</v>
      </c>
    </row>
    <row r="84" spans="2:11" x14ac:dyDescent="0.2">
      <c r="B84" s="20"/>
      <c r="C84" s="119" t="s">
        <v>771</v>
      </c>
      <c r="D84" s="104">
        <f>('COMPOS CART'!D84/'COMPOS CART'!D$87)*100</f>
        <v>0</v>
      </c>
      <c r="E84" s="104">
        <f>('COMPOS CART'!E84/'COMPOS CART'!E$87)*100</f>
        <v>0</v>
      </c>
      <c r="F84" s="104">
        <f>('COMPOS CART'!F84/'COMPOS CART'!F$87)*100</f>
        <v>0</v>
      </c>
      <c r="G84" s="104">
        <f>('COMPOS CART'!G84/'COMPOS CART'!G$87)*100</f>
        <v>10.782506000124629</v>
      </c>
      <c r="H84" s="104">
        <f>('COMPOS CART'!H84/'COMPOS CART'!H$87)*100</f>
        <v>6.3568125877197375</v>
      </c>
      <c r="I84" s="104">
        <f>('COMPOS CART'!I84/'COMPOS CART'!I$87)*100</f>
        <v>9.2993443830955105</v>
      </c>
      <c r="J84" s="104">
        <f>('COMPOS CART'!J84/'COMPOS CART'!J$87)*100</f>
        <v>8.4175301336637851</v>
      </c>
      <c r="K84" s="105">
        <f>('COMPOS CART'!K84/'COMPOS CART'!K$87)*100</f>
        <v>0</v>
      </c>
    </row>
    <row r="85" spans="2:11" x14ac:dyDescent="0.2">
      <c r="B85" s="20"/>
      <c r="C85" s="119" t="s">
        <v>772</v>
      </c>
      <c r="D85" s="104">
        <f>('COMPOS CART'!D85/'COMPOS CART'!D$87)*100</f>
        <v>0</v>
      </c>
      <c r="E85" s="104">
        <f>('COMPOS CART'!E85/'COMPOS CART'!E$87)*100</f>
        <v>0</v>
      </c>
      <c r="F85" s="104">
        <f>('COMPOS CART'!F85/'COMPOS CART'!F$87)*100</f>
        <v>0</v>
      </c>
      <c r="G85" s="104">
        <f>('COMPOS CART'!G85/'COMPOS CART'!G$87)*100</f>
        <v>0</v>
      </c>
      <c r="H85" s="104">
        <f>('COMPOS CART'!H85/'COMPOS CART'!H$87)*100</f>
        <v>0</v>
      </c>
      <c r="I85" s="104">
        <f>('COMPOS CART'!I85/'COMPOS CART'!I$87)*100</f>
        <v>0</v>
      </c>
      <c r="J85" s="104">
        <f>('COMPOS CART'!J85/'COMPOS CART'!J$87)*100</f>
        <v>0</v>
      </c>
      <c r="K85" s="105">
        <f>('COMPOS CART'!K85/'COMPOS CART'!K$87)*100</f>
        <v>100</v>
      </c>
    </row>
    <row r="86" spans="2:11" x14ac:dyDescent="0.2">
      <c r="B86" s="20"/>
      <c r="C86" s="119" t="s">
        <v>773</v>
      </c>
      <c r="D86" s="104">
        <f>('COMPOS CART'!D86/'COMPOS CART'!D$87)*100</f>
        <v>0</v>
      </c>
      <c r="E86" s="104">
        <f>('COMPOS CART'!E86/'COMPOS CART'!E$87)*100</f>
        <v>0</v>
      </c>
      <c r="F86" s="104">
        <f>('COMPOS CART'!F86/'COMPOS CART'!F$87)*100</f>
        <v>100</v>
      </c>
      <c r="G86" s="104">
        <f>('COMPOS CART'!G86/'COMPOS CART'!G$87)*100</f>
        <v>0</v>
      </c>
      <c r="H86" s="104">
        <f>('COMPOS CART'!H86/'COMPOS CART'!H$87)*100</f>
        <v>0</v>
      </c>
      <c r="I86" s="104">
        <f>('COMPOS CART'!I86/'COMPOS CART'!I$87)*100</f>
        <v>9.4526482098405348E-2</v>
      </c>
      <c r="J86" s="104">
        <f>('COMPOS CART'!J86/'COMPOS CART'!J$87)*100</f>
        <v>8.5562968604427192E-2</v>
      </c>
      <c r="K86" s="105">
        <f>('COMPOS CART'!K86/'COMPOS CART'!K$87)*100</f>
        <v>0</v>
      </c>
    </row>
    <row r="87" spans="2:11" ht="15" x14ac:dyDescent="0.25">
      <c r="B87" s="20"/>
      <c r="C87" s="120" t="s">
        <v>774</v>
      </c>
      <c r="D87" s="124">
        <f>('COMPOS CART'!D87/'COMPOS CART'!D$87)*100</f>
        <v>100</v>
      </c>
      <c r="E87" s="124">
        <f>('COMPOS CART'!E87/'COMPOS CART'!E$87)*100</f>
        <v>100</v>
      </c>
      <c r="F87" s="124">
        <f>('COMPOS CART'!F87/'COMPOS CART'!F$87)*100</f>
        <v>100</v>
      </c>
      <c r="G87" s="124">
        <f>('COMPOS CART'!G87/'COMPOS CART'!G$87)*100</f>
        <v>100</v>
      </c>
      <c r="H87" s="124">
        <f>('COMPOS CART'!H87/'COMPOS CART'!H$87)*100</f>
        <v>100</v>
      </c>
      <c r="I87" s="124">
        <f>('COMPOS CART'!I87/'COMPOS CART'!I$87)*100</f>
        <v>100</v>
      </c>
      <c r="J87" s="124">
        <f>('COMPOS CART'!J87/'COMPOS CART'!J$87)*100</f>
        <v>100</v>
      </c>
      <c r="K87" s="125">
        <f>('COMPOS CART'!K87/'COMPOS CART'!K$87)*100</f>
        <v>100</v>
      </c>
    </row>
    <row r="88" spans="2:11" x14ac:dyDescent="0.2">
      <c r="B88" s="20"/>
      <c r="C88" s="21"/>
      <c r="D88" s="104"/>
      <c r="E88" s="104"/>
      <c r="F88" s="104"/>
      <c r="G88" s="104"/>
      <c r="H88" s="104"/>
      <c r="I88" s="104"/>
      <c r="J88" s="104"/>
      <c r="K88" s="105"/>
    </row>
    <row r="89" spans="2:11" x14ac:dyDescent="0.2">
      <c r="B89" s="20"/>
      <c r="C89" s="119" t="s">
        <v>775</v>
      </c>
      <c r="D89" s="104">
        <f>('COMPOS CART'!D89/'COMPOS CART'!D$95)*100</f>
        <v>91.137157945595632</v>
      </c>
      <c r="E89" s="104">
        <f>('COMPOS CART'!E89/'COMPOS CART'!E$95)*100</f>
        <v>91.137157945595632</v>
      </c>
      <c r="F89" s="104">
        <f>('COMPOS CART'!F89/'COMPOS CART'!F$95)*100</f>
        <v>0</v>
      </c>
      <c r="G89" s="104">
        <f>('COMPOS CART'!G89/'COMPOS CART'!G$95)*100</f>
        <v>67.612613052872703</v>
      </c>
      <c r="H89" s="104">
        <f>('COMPOS CART'!H89/'COMPOS CART'!H$95)*100</f>
        <v>97.370404383637549</v>
      </c>
      <c r="I89" s="104">
        <f>('COMPOS CART'!I89/'COMPOS CART'!I$95)*100</f>
        <v>58.324332109687546</v>
      </c>
      <c r="J89" s="104">
        <f>('COMPOS CART'!J89/'COMPOS CART'!J$95)*100</f>
        <v>60.222618519734361</v>
      </c>
      <c r="K89" s="105">
        <f>('COMPOS CART'!K89/'COMPOS CART'!K$95)*100</f>
        <v>0</v>
      </c>
    </row>
    <row r="90" spans="2:11" x14ac:dyDescent="0.2">
      <c r="B90" s="20"/>
      <c r="C90" s="119" t="s">
        <v>776</v>
      </c>
      <c r="D90" s="104">
        <f>('COMPOS CART'!D90/'COMPOS CART'!D$95)*100</f>
        <v>0</v>
      </c>
      <c r="E90" s="104">
        <f>('COMPOS CART'!E90/'COMPOS CART'!E$95)*100</f>
        <v>0</v>
      </c>
      <c r="F90" s="104">
        <f>('COMPOS CART'!F90/'COMPOS CART'!F$95)*100</f>
        <v>0</v>
      </c>
      <c r="G90" s="104">
        <f>('COMPOS CART'!G90/'COMPOS CART'!G$95)*100</f>
        <v>3.5279938195049279</v>
      </c>
      <c r="H90" s="104">
        <f>('COMPOS CART'!H90/'COMPOS CART'!H$95)*100</f>
        <v>0</v>
      </c>
      <c r="I90" s="104">
        <f>('COMPOS CART'!I90/'COMPOS CART'!I$95)*100</f>
        <v>1.0630932838803882</v>
      </c>
      <c r="J90" s="104">
        <f>('COMPOS CART'!J90/'COMPOS CART'!J$95)*100</f>
        <v>1.0015912497826802</v>
      </c>
      <c r="K90" s="105">
        <f>('COMPOS CART'!K90/'COMPOS CART'!K$95)*100</f>
        <v>0</v>
      </c>
    </row>
    <row r="91" spans="2:11" x14ac:dyDescent="0.2">
      <c r="B91" s="20"/>
      <c r="C91" s="119" t="s">
        <v>777</v>
      </c>
      <c r="D91" s="104">
        <f>('COMPOS CART'!D91/'COMPOS CART'!D$95)*100</f>
        <v>8.8628420544043767</v>
      </c>
      <c r="E91" s="104">
        <f>('COMPOS CART'!E91/'COMPOS CART'!E$95)*100</f>
        <v>8.8628420544043767</v>
      </c>
      <c r="F91" s="104">
        <f>('COMPOS CART'!F91/'COMPOS CART'!F$95)*100</f>
        <v>0</v>
      </c>
      <c r="G91" s="104">
        <f>('COMPOS CART'!G91/'COMPOS CART'!G$95)*100</f>
        <v>0</v>
      </c>
      <c r="H91" s="104">
        <f>('COMPOS CART'!H91/'COMPOS CART'!H$95)*100</f>
        <v>0</v>
      </c>
      <c r="I91" s="104">
        <f>('COMPOS CART'!I91/'COMPOS CART'!I$95)*100</f>
        <v>0</v>
      </c>
      <c r="J91" s="104">
        <f>('COMPOS CART'!J91/'COMPOS CART'!J$95)*100</f>
        <v>0.51273281705155294</v>
      </c>
      <c r="K91" s="105">
        <f>('COMPOS CART'!K91/'COMPOS CART'!K$95)*100</f>
        <v>0</v>
      </c>
    </row>
    <row r="92" spans="2:11" x14ac:dyDescent="0.2">
      <c r="B92" s="20"/>
      <c r="C92" s="119" t="s">
        <v>778</v>
      </c>
      <c r="D92" s="104">
        <f>('COMPOS CART'!D92/'COMPOS CART'!D$95)*100</f>
        <v>0</v>
      </c>
      <c r="E92" s="104">
        <f>('COMPOS CART'!E92/'COMPOS CART'!E$95)*100</f>
        <v>0</v>
      </c>
      <c r="F92" s="104">
        <f>('COMPOS CART'!F92/'COMPOS CART'!F$95)*100</f>
        <v>0</v>
      </c>
      <c r="G92" s="104">
        <f>('COMPOS CART'!G92/'COMPOS CART'!G$95)*100</f>
        <v>28.859393127622372</v>
      </c>
      <c r="H92" s="104">
        <f>('COMPOS CART'!H92/'COMPOS CART'!H$95)*100</f>
        <v>2.6295956163624314</v>
      </c>
      <c r="I92" s="104">
        <f>('COMPOS CART'!I92/'COMPOS CART'!I$95)*100</f>
        <v>9.7211218193834537</v>
      </c>
      <c r="J92" s="104">
        <f>('COMPOS CART'!J92/'COMPOS CART'!J$95)*100</f>
        <v>9.1587358325005166</v>
      </c>
      <c r="K92" s="105">
        <f>('COMPOS CART'!K92/'COMPOS CART'!K$95)*100</f>
        <v>0</v>
      </c>
    </row>
    <row r="93" spans="2:11" x14ac:dyDescent="0.2">
      <c r="B93" s="20"/>
      <c r="C93" s="119" t="s">
        <v>779</v>
      </c>
      <c r="D93" s="104">
        <f>('COMPOS CART'!D93/'COMPOS CART'!D$95)*100</f>
        <v>0</v>
      </c>
      <c r="E93" s="104">
        <f>('COMPOS CART'!E93/'COMPOS CART'!E$95)*100</f>
        <v>0</v>
      </c>
      <c r="F93" s="104">
        <f>('COMPOS CART'!F93/'COMPOS CART'!F$95)*100</f>
        <v>0</v>
      </c>
      <c r="G93" s="104">
        <f>('COMPOS CART'!G93/'COMPOS CART'!G$95)*100</f>
        <v>0</v>
      </c>
      <c r="H93" s="104">
        <f>('COMPOS CART'!H93/'COMPOS CART'!H$95)*100</f>
        <v>0</v>
      </c>
      <c r="I93" s="104">
        <f>('COMPOS CART'!I93/'COMPOS CART'!I$95)*100</f>
        <v>0</v>
      </c>
      <c r="J93" s="104">
        <f>('COMPOS CART'!J93/'COMPOS CART'!J$95)*100</f>
        <v>0</v>
      </c>
      <c r="K93" s="105">
        <f>('COMPOS CART'!K93/'COMPOS CART'!K$95)*100</f>
        <v>100</v>
      </c>
    </row>
    <row r="94" spans="2:11" x14ac:dyDescent="0.2">
      <c r="B94" s="20"/>
      <c r="C94" s="119" t="s">
        <v>780</v>
      </c>
      <c r="D94" s="104">
        <f>('COMPOS CART'!D94/'COMPOS CART'!D$95)*100</f>
        <v>0</v>
      </c>
      <c r="E94" s="104">
        <f>('COMPOS CART'!E94/'COMPOS CART'!E$95)*100</f>
        <v>0</v>
      </c>
      <c r="F94" s="104">
        <f>('COMPOS CART'!F94/'COMPOS CART'!F$95)*100</f>
        <v>100</v>
      </c>
      <c r="G94" s="104">
        <f>('COMPOS CART'!G94/'COMPOS CART'!G$95)*100</f>
        <v>0</v>
      </c>
      <c r="H94" s="104">
        <f>('COMPOS CART'!H94/'COMPOS CART'!H$95)*100</f>
        <v>0</v>
      </c>
      <c r="I94" s="104">
        <f>('COMPOS CART'!I94/'COMPOS CART'!I$95)*100</f>
        <v>30.891452787048596</v>
      </c>
      <c r="J94" s="104">
        <f>('COMPOS CART'!J94/'COMPOS CART'!J$95)*100</f>
        <v>29.104321580930886</v>
      </c>
      <c r="K94" s="105">
        <f>('COMPOS CART'!K94/'COMPOS CART'!K$95)*100</f>
        <v>0</v>
      </c>
    </row>
    <row r="95" spans="2:11" ht="15" x14ac:dyDescent="0.25">
      <c r="B95" s="25"/>
      <c r="C95" s="121" t="s">
        <v>781</v>
      </c>
      <c r="D95" s="130">
        <f>('COMPOS CART'!D95/'COMPOS CART'!D$95)*100</f>
        <v>100</v>
      </c>
      <c r="E95" s="130">
        <f>('COMPOS CART'!E95/'COMPOS CART'!E$95)*100</f>
        <v>100</v>
      </c>
      <c r="F95" s="130">
        <f>('COMPOS CART'!F95/'COMPOS CART'!F$95)*100</f>
        <v>100</v>
      </c>
      <c r="G95" s="130">
        <f>('COMPOS CART'!G95/'COMPOS CART'!G$95)*100</f>
        <v>100</v>
      </c>
      <c r="H95" s="130">
        <f>('COMPOS CART'!H95/'COMPOS CART'!H$95)*100</f>
        <v>100</v>
      </c>
      <c r="I95" s="130">
        <f>('COMPOS CART'!I95/'COMPOS CART'!I$95)*100</f>
        <v>100</v>
      </c>
      <c r="J95" s="130">
        <f>('COMPOS CART'!J95/'COMPOS CART'!J$95)*100</f>
        <v>100</v>
      </c>
      <c r="K95" s="131">
        <f>('COMPOS CART'!K95/'COMPOS CART'!K$95)*100</f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90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32"/>
      <c r="B2" s="133" t="s">
        <v>783</v>
      </c>
      <c r="H2" s="54"/>
      <c r="L2" s="116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32"/>
      <c r="B3" s="133" t="str">
        <f>BALANCE!B3</f>
        <v>SISTEMA DE BANCA PUBLICA</v>
      </c>
      <c r="H3" s="54"/>
      <c r="L3" s="116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32"/>
      <c r="B4" s="134" t="str">
        <f>PYG!B4</f>
        <v>DESDE EL 01-ENE-2012 AL 31-SEP-2012</v>
      </c>
      <c r="C4" s="134"/>
      <c r="H4" s="54"/>
      <c r="L4" s="116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32"/>
      <c r="B5" s="52" t="s">
        <v>2</v>
      </c>
      <c r="H5" s="54"/>
      <c r="L5" s="116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32"/>
      <c r="B6" s="135"/>
      <c r="H6" s="54"/>
      <c r="L6" s="116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19" customFormat="1" ht="45" x14ac:dyDescent="0.25">
      <c r="B7" s="16" t="s">
        <v>3</v>
      </c>
      <c r="C7" s="136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58" t="s">
        <v>12</v>
      </c>
      <c r="L7" s="137"/>
    </row>
    <row r="8" spans="1:24" x14ac:dyDescent="0.2">
      <c r="B8" s="74"/>
      <c r="C8" s="62"/>
      <c r="D8" s="76"/>
      <c r="E8" s="76"/>
      <c r="F8" s="76"/>
      <c r="G8" s="76"/>
      <c r="H8" s="76"/>
      <c r="I8" s="76"/>
      <c r="J8" s="76"/>
      <c r="K8" s="77"/>
    </row>
    <row r="9" spans="1:24" s="36" customFormat="1" ht="15" x14ac:dyDescent="0.25">
      <c r="B9" s="23"/>
      <c r="C9" s="24" t="str">
        <f>+PYG!C9</f>
        <v>TOTAL INGRESOS</v>
      </c>
      <c r="D9" s="81">
        <f>+PYG!D9</f>
        <v>17362.654569999999</v>
      </c>
      <c r="E9" s="81">
        <f>+PYG!E9</f>
        <v>17362.654569999999</v>
      </c>
      <c r="F9" s="81">
        <f>+PYG!F9</f>
        <v>58698.101289999999</v>
      </c>
      <c r="G9" s="81">
        <f>+PYG!G9</f>
        <v>94049.363310000001</v>
      </c>
      <c r="H9" s="81">
        <f>+PYG!H9</f>
        <v>168188.19795999999</v>
      </c>
      <c r="I9" s="81">
        <f>+PYG!I9</f>
        <v>320935.66255999997</v>
      </c>
      <c r="J9" s="81">
        <f>+PYG!J9</f>
        <v>338298.31712999998</v>
      </c>
      <c r="K9" s="82">
        <f>+PYG!K9</f>
        <v>13234.160910000001</v>
      </c>
    </row>
    <row r="10" spans="1:24" x14ac:dyDescent="0.2">
      <c r="B10" s="20"/>
      <c r="C10" s="21"/>
      <c r="D10" s="22"/>
      <c r="E10" s="22"/>
      <c r="F10" s="22"/>
      <c r="G10" s="22"/>
      <c r="H10" s="22"/>
      <c r="I10" s="22"/>
      <c r="J10" s="22"/>
      <c r="K10" s="79"/>
    </row>
    <row r="11" spans="1:24" s="36" customFormat="1" ht="15" x14ac:dyDescent="0.25">
      <c r="B11" s="23">
        <f>+PYG!B11</f>
        <v>51</v>
      </c>
      <c r="C11" s="24" t="str">
        <f>+PYG!C11</f>
        <v>INTERESES Y DESCUENTOS GANADOS</v>
      </c>
      <c r="D11" s="81">
        <f>+PYG!D11</f>
        <v>9888.1526699999995</v>
      </c>
      <c r="E11" s="81">
        <f>+PYG!E11</f>
        <v>9888.1526699999995</v>
      </c>
      <c r="F11" s="81">
        <f>+PYG!F11</f>
        <v>56229.772539999998</v>
      </c>
      <c r="G11" s="81">
        <f>+PYG!G11</f>
        <v>70272.735910000003</v>
      </c>
      <c r="H11" s="81">
        <f>+PYG!H11</f>
        <v>92006.173120000007</v>
      </c>
      <c r="I11" s="81">
        <f>+PYG!I11</f>
        <v>218508.68157000002</v>
      </c>
      <c r="J11" s="81">
        <f>+PYG!J11</f>
        <v>228396.83424000003</v>
      </c>
      <c r="K11" s="82">
        <f>+PYG!K11</f>
        <v>12465.036550000001</v>
      </c>
    </row>
    <row r="12" spans="1:24" x14ac:dyDescent="0.2">
      <c r="B12" s="20">
        <f>+PYG!B12</f>
        <v>5101</v>
      </c>
      <c r="C12" s="21" t="str">
        <f>+PYG!C12</f>
        <v xml:space="preserve">        Depósitos</v>
      </c>
      <c r="D12" s="22">
        <f>+PYG!D12</f>
        <v>7.1239999999999998E-2</v>
      </c>
      <c r="E12" s="22">
        <f>+PYG!E12</f>
        <v>7.1239999999999998E-2</v>
      </c>
      <c r="F12" s="22">
        <f>+PYG!F12</f>
        <v>9.7300000000000008E-3</v>
      </c>
      <c r="G12" s="22">
        <f>+PYG!G12</f>
        <v>0</v>
      </c>
      <c r="H12" s="22">
        <f>+PYG!H12</f>
        <v>474.15260000000001</v>
      </c>
      <c r="I12" s="22">
        <f>+PYG!I12</f>
        <v>474.16233</v>
      </c>
      <c r="J12" s="22">
        <f>+PYG!J12</f>
        <v>474.23356999999999</v>
      </c>
      <c r="K12" s="79">
        <f>+PYG!K12</f>
        <v>1135.49243</v>
      </c>
    </row>
    <row r="13" spans="1:24" x14ac:dyDescent="0.2">
      <c r="B13" s="20">
        <f>+PYG!B13</f>
        <v>5102</v>
      </c>
      <c r="C13" s="21" t="str">
        <f>+PYG!C13</f>
        <v xml:space="preserve">        Operaciones interbancarias</v>
      </c>
      <c r="D13" s="22">
        <f>+PYG!D13</f>
        <v>0</v>
      </c>
      <c r="E13" s="22">
        <f>+PYG!E13</f>
        <v>0</v>
      </c>
      <c r="F13" s="22">
        <f>+PYG!F13</f>
        <v>0</v>
      </c>
      <c r="G13" s="22">
        <f>+PYG!G13</f>
        <v>0</v>
      </c>
      <c r="H13" s="22">
        <f>+PYG!H13</f>
        <v>0</v>
      </c>
      <c r="I13" s="22">
        <f>+PYG!I13</f>
        <v>0</v>
      </c>
      <c r="J13" s="22">
        <f>+PYG!J13</f>
        <v>0</v>
      </c>
      <c r="K13" s="79">
        <f>+PYG!K13</f>
        <v>0</v>
      </c>
    </row>
    <row r="14" spans="1:24" x14ac:dyDescent="0.2">
      <c r="B14" s="20">
        <f>+PYG!B14</f>
        <v>5103</v>
      </c>
      <c r="C14" s="21" t="str">
        <f>+PYG!C14</f>
        <v xml:space="preserve">        Intereses y descuentos de inversiones en títulos valores</v>
      </c>
      <c r="D14" s="22">
        <f>+PYG!D14</f>
        <v>1350.5903599999999</v>
      </c>
      <c r="E14" s="22">
        <f>+PYG!E14</f>
        <v>1350.5903599999999</v>
      </c>
      <c r="F14" s="22">
        <f>+PYG!F14</f>
        <v>3036.3958400000001</v>
      </c>
      <c r="G14" s="22">
        <f>+PYG!G14</f>
        <v>4010.4974499999998</v>
      </c>
      <c r="H14" s="22">
        <f>+PYG!H14</f>
        <v>15499.95256</v>
      </c>
      <c r="I14" s="22">
        <f>+PYG!I14</f>
        <v>22546.845849999998</v>
      </c>
      <c r="J14" s="22">
        <f>+PYG!J14</f>
        <v>23897.436209999996</v>
      </c>
      <c r="K14" s="79">
        <f>+PYG!K14</f>
        <v>0</v>
      </c>
    </row>
    <row r="15" spans="1:24" x14ac:dyDescent="0.2">
      <c r="B15" s="20">
        <f>+PYG!B15</f>
        <v>5104</v>
      </c>
      <c r="C15" s="21" t="str">
        <f>+PYG!C15</f>
        <v xml:space="preserve">        Intereses y descuentos de cartera de créditos</v>
      </c>
      <c r="D15" s="22">
        <f>+PYG!D15</f>
        <v>8240.4868200000001</v>
      </c>
      <c r="E15" s="22">
        <f>+PYG!E15</f>
        <v>8240.4868200000001</v>
      </c>
      <c r="F15" s="22">
        <f>+PYG!F15</f>
        <v>53191.33625</v>
      </c>
      <c r="G15" s="22">
        <f>+PYG!G15</f>
        <v>66262.218110000002</v>
      </c>
      <c r="H15" s="22">
        <f>+PYG!H15</f>
        <v>72434.785140000007</v>
      </c>
      <c r="I15" s="22">
        <f>+PYG!I15</f>
        <v>191888.3395</v>
      </c>
      <c r="J15" s="22">
        <f>+PYG!J15</f>
        <v>200128.82631999999</v>
      </c>
      <c r="K15" s="79">
        <f>+PYG!K15</f>
        <v>11329.54412</v>
      </c>
    </row>
    <row r="16" spans="1:24" x14ac:dyDescent="0.2">
      <c r="B16" s="20">
        <f>+PYG!B25</f>
        <v>5190</v>
      </c>
      <c r="C16" s="21" t="str">
        <f>+PYG!C25</f>
        <v xml:space="preserve">        Otros intereses y descuentos</v>
      </c>
      <c r="D16" s="22">
        <f>+PYG!D25</f>
        <v>297.00425000000001</v>
      </c>
      <c r="E16" s="22">
        <f>+PYG!E25</f>
        <v>297.00425000000001</v>
      </c>
      <c r="F16" s="22">
        <f>+PYG!F25</f>
        <v>2.0307200000000001</v>
      </c>
      <c r="G16" s="22">
        <f>+PYG!G25</f>
        <v>2.035E-2</v>
      </c>
      <c r="H16" s="22">
        <f>+PYG!H25</f>
        <v>3597.2828199999999</v>
      </c>
      <c r="I16" s="22">
        <f>+PYG!I25</f>
        <v>3599.3338899999999</v>
      </c>
      <c r="J16" s="22">
        <f>+PYG!J25</f>
        <v>3896.3381399999998</v>
      </c>
      <c r="K16" s="79">
        <f>+PYG!K25</f>
        <v>0</v>
      </c>
    </row>
    <row r="17" spans="2:11" s="36" customFormat="1" ht="15" x14ac:dyDescent="0.25">
      <c r="B17" s="23">
        <f>+PYG!B26</f>
        <v>41</v>
      </c>
      <c r="C17" s="24" t="str">
        <f>+PYG!C26</f>
        <v>INTERESES CAUSADOS</v>
      </c>
      <c r="D17" s="81">
        <f>+PYG!D26</f>
        <v>1396.93381</v>
      </c>
      <c r="E17" s="81">
        <f>+PYG!E26</f>
        <v>1396.93381</v>
      </c>
      <c r="F17" s="81">
        <f>+PYG!F26</f>
        <v>9441.7811199999996</v>
      </c>
      <c r="G17" s="81">
        <f>+PYG!G26</f>
        <v>11619.32159</v>
      </c>
      <c r="H17" s="81">
        <f>+PYG!H26</f>
        <v>30376.206689999999</v>
      </c>
      <c r="I17" s="81">
        <f>+PYG!I26</f>
        <v>51437.309399999998</v>
      </c>
      <c r="J17" s="81">
        <f>+PYG!J26</f>
        <v>52834.243210000001</v>
      </c>
      <c r="K17" s="82">
        <f>+PYG!K26</f>
        <v>0</v>
      </c>
    </row>
    <row r="18" spans="2:11" x14ac:dyDescent="0.2">
      <c r="B18" s="20">
        <f>+PYG!B27</f>
        <v>4101</v>
      </c>
      <c r="C18" s="21" t="str">
        <f>+PYG!C27</f>
        <v xml:space="preserve">        Obligaciones con el público</v>
      </c>
      <c r="D18" s="22">
        <f>+PYG!D27</f>
        <v>1381.36455</v>
      </c>
      <c r="E18" s="22">
        <f>+PYG!E27</f>
        <v>1381.36455</v>
      </c>
      <c r="F18" s="22">
        <f>+PYG!F27</f>
        <v>9036.2079099999992</v>
      </c>
      <c r="G18" s="22">
        <f>+PYG!G27</f>
        <v>11607.941070000001</v>
      </c>
      <c r="H18" s="22">
        <f>+PYG!H27</f>
        <v>0.50912000000000002</v>
      </c>
      <c r="I18" s="22">
        <f>+PYG!I27</f>
        <v>20644.658099999997</v>
      </c>
      <c r="J18" s="22">
        <f>+PYG!J27</f>
        <v>22026.022649999995</v>
      </c>
      <c r="K18" s="79">
        <f>+PYG!K27</f>
        <v>0</v>
      </c>
    </row>
    <row r="19" spans="2:11" x14ac:dyDescent="0.2">
      <c r="B19" s="20">
        <f>+PYG!B28</f>
        <v>4102</v>
      </c>
      <c r="C19" s="21" t="str">
        <f>+PYG!C28</f>
        <v xml:space="preserve">        Operaciones interbancarias</v>
      </c>
      <c r="D19" s="22">
        <f>+PYG!D28</f>
        <v>0</v>
      </c>
      <c r="E19" s="22">
        <f>+PYG!E28</f>
        <v>0</v>
      </c>
      <c r="F19" s="22">
        <f>+PYG!F28</f>
        <v>0</v>
      </c>
      <c r="G19" s="22">
        <f>+PYG!G28</f>
        <v>0</v>
      </c>
      <c r="H19" s="22">
        <f>+PYG!H28</f>
        <v>0</v>
      </c>
      <c r="I19" s="22">
        <f>+PYG!I28</f>
        <v>0</v>
      </c>
      <c r="J19" s="22">
        <f>+PYG!J28</f>
        <v>0</v>
      </c>
      <c r="K19" s="79">
        <f>+PYG!K28</f>
        <v>0</v>
      </c>
    </row>
    <row r="20" spans="2:11" x14ac:dyDescent="0.2">
      <c r="B20" s="20">
        <f>+PYG!B29</f>
        <v>4103</v>
      </c>
      <c r="C20" s="21" t="str">
        <f>+PYG!C29</f>
        <v xml:space="preserve">        Obligaciones financieras</v>
      </c>
      <c r="D20" s="22">
        <f>+PYG!D29</f>
        <v>15.56926</v>
      </c>
      <c r="E20" s="22">
        <f>+PYG!E29</f>
        <v>15.56926</v>
      </c>
      <c r="F20" s="22">
        <f>+PYG!F29</f>
        <v>343.67928000000001</v>
      </c>
      <c r="G20" s="22">
        <f>+PYG!G29</f>
        <v>11.380520000000001</v>
      </c>
      <c r="H20" s="22">
        <f>+PYG!H29</f>
        <v>1565.6263799999999</v>
      </c>
      <c r="I20" s="22">
        <f>+PYG!I29</f>
        <v>1920.6861799999999</v>
      </c>
      <c r="J20" s="22">
        <f>+PYG!J29</f>
        <v>1936.2554399999999</v>
      </c>
      <c r="K20" s="79">
        <f>+PYG!K29</f>
        <v>0</v>
      </c>
    </row>
    <row r="21" spans="2:11" x14ac:dyDescent="0.2">
      <c r="B21" s="20">
        <f>+PYG!B30</f>
        <v>4104</v>
      </c>
      <c r="C21" s="21" t="str">
        <f>+PYG!C30</f>
        <v xml:space="preserve">        Valores en circulación y obligaciones convertibles en acciones</v>
      </c>
      <c r="D21" s="22">
        <f>+PYG!D30</f>
        <v>0</v>
      </c>
      <c r="E21" s="22">
        <f>+PYG!E30</f>
        <v>0</v>
      </c>
      <c r="F21" s="22">
        <f>+PYG!F30</f>
        <v>0</v>
      </c>
      <c r="G21" s="22">
        <f>+PYG!G30</f>
        <v>0</v>
      </c>
      <c r="H21" s="22">
        <f>+PYG!H30</f>
        <v>28810.071189999999</v>
      </c>
      <c r="I21" s="22">
        <f>+PYG!I30</f>
        <v>28810.071189999999</v>
      </c>
      <c r="J21" s="22">
        <f>+PYG!J30</f>
        <v>28810.071189999999</v>
      </c>
      <c r="K21" s="79">
        <f>+PYG!K30</f>
        <v>0</v>
      </c>
    </row>
    <row r="22" spans="2:11" x14ac:dyDescent="0.2">
      <c r="B22" s="20">
        <f>+PYG!B31</f>
        <v>4105</v>
      </c>
      <c r="C22" s="21" t="str">
        <f>+PYG!C31</f>
        <v xml:space="preserve">        Otros intereses</v>
      </c>
      <c r="D22" s="22">
        <f>+PYG!D31</f>
        <v>0</v>
      </c>
      <c r="E22" s="22">
        <f>+PYG!E31</f>
        <v>0</v>
      </c>
      <c r="F22" s="22">
        <f>+PYG!F31</f>
        <v>61.893929999999997</v>
      </c>
      <c r="G22" s="22">
        <f>+PYG!G31</f>
        <v>0</v>
      </c>
      <c r="H22" s="22">
        <f>+PYG!H31</f>
        <v>0</v>
      </c>
      <c r="I22" s="22">
        <f>+PYG!I31</f>
        <v>61.893929999999997</v>
      </c>
      <c r="J22" s="22">
        <f>+PYG!J31</f>
        <v>61.893929999999997</v>
      </c>
      <c r="K22" s="79">
        <f>+PYG!K31</f>
        <v>0</v>
      </c>
    </row>
    <row r="23" spans="2:11" s="36" customFormat="1" ht="15" x14ac:dyDescent="0.25">
      <c r="B23" s="23"/>
      <c r="C23" s="24" t="str">
        <f>+PYG!C32</f>
        <v>MARGEN NETO INTERESES</v>
      </c>
      <c r="D23" s="81">
        <f>+PYG!D32</f>
        <v>8491.2188600000009</v>
      </c>
      <c r="E23" s="81">
        <f>+PYG!E32</f>
        <v>8491.2188600000009</v>
      </c>
      <c r="F23" s="81">
        <f>+PYG!F32</f>
        <v>46787.991419999998</v>
      </c>
      <c r="G23" s="81">
        <f>+PYG!G32</f>
        <v>58653.414320000003</v>
      </c>
      <c r="H23" s="81">
        <f>+PYG!H32</f>
        <v>61629.96643</v>
      </c>
      <c r="I23" s="81">
        <f>+PYG!I32</f>
        <v>167071.37216999999</v>
      </c>
      <c r="J23" s="81">
        <f>+PYG!J32</f>
        <v>175562.59102999998</v>
      </c>
      <c r="K23" s="82">
        <f>+PYG!K32</f>
        <v>12465.036550000001</v>
      </c>
    </row>
    <row r="24" spans="2:11" x14ac:dyDescent="0.2">
      <c r="B24" s="20"/>
      <c r="C24" s="21"/>
      <c r="D24" s="22"/>
      <c r="E24" s="22"/>
      <c r="F24" s="22"/>
      <c r="G24" s="22"/>
      <c r="H24" s="22"/>
      <c r="I24" s="22"/>
      <c r="J24" s="22"/>
      <c r="K24" s="79"/>
    </row>
    <row r="25" spans="2:11" s="36" customFormat="1" ht="15" x14ac:dyDescent="0.25">
      <c r="B25" s="23">
        <f>+PYG!B34</f>
        <v>52</v>
      </c>
      <c r="C25" s="24" t="str">
        <f>+PYG!C34</f>
        <v>COMISIONES GANADAS</v>
      </c>
      <c r="D25" s="81">
        <f>+PYG!D34</f>
        <v>150.69238999999999</v>
      </c>
      <c r="E25" s="81">
        <f>+PYG!E34</f>
        <v>150.69238999999999</v>
      </c>
      <c r="F25" s="81">
        <f>+PYG!F34</f>
        <v>1010.01004</v>
      </c>
      <c r="G25" s="81">
        <f>+PYG!G34</f>
        <v>2142.0976799999999</v>
      </c>
      <c r="H25" s="81">
        <f>+PYG!H34</f>
        <v>23.10989</v>
      </c>
      <c r="I25" s="81">
        <f>+PYG!I34</f>
        <v>3175.2176100000001</v>
      </c>
      <c r="J25" s="81">
        <f>+PYG!J34</f>
        <v>3325.9100000000003</v>
      </c>
      <c r="K25" s="82">
        <f>+PYG!K34</f>
        <v>0</v>
      </c>
    </row>
    <row r="26" spans="2:11" x14ac:dyDescent="0.2">
      <c r="B26" s="20">
        <f>+PYG!B35</f>
        <v>5201</v>
      </c>
      <c r="C26" s="21" t="str">
        <f>+PYG!C35</f>
        <v xml:space="preserve">        Cartera de créditos</v>
      </c>
      <c r="D26" s="22">
        <f>+PYG!D35</f>
        <v>0</v>
      </c>
      <c r="E26" s="22">
        <f>+PYG!E35</f>
        <v>0</v>
      </c>
      <c r="F26" s="22">
        <f>+PYG!F35</f>
        <v>0</v>
      </c>
      <c r="G26" s="22">
        <f>+PYG!G35</f>
        <v>10.171010000000001</v>
      </c>
      <c r="H26" s="22">
        <f>+PYG!H35</f>
        <v>0</v>
      </c>
      <c r="I26" s="22">
        <f>+PYG!I35</f>
        <v>10.171010000000001</v>
      </c>
      <c r="J26" s="22">
        <f>+PYG!J35</f>
        <v>10.171010000000001</v>
      </c>
      <c r="K26" s="79">
        <f>+PYG!K35</f>
        <v>0</v>
      </c>
    </row>
    <row r="27" spans="2:11" x14ac:dyDescent="0.2">
      <c r="B27" s="20">
        <f>+PYG!B41</f>
        <v>5290</v>
      </c>
      <c r="C27" s="21" t="str">
        <f>+PYG!C41</f>
        <v xml:space="preserve">        Otras</v>
      </c>
      <c r="D27" s="22">
        <f>+PYG!D41</f>
        <v>150.69238999999999</v>
      </c>
      <c r="E27" s="22">
        <f>+PYG!E41</f>
        <v>150.69238999999999</v>
      </c>
      <c r="F27" s="22">
        <f>+PYG!F41</f>
        <v>1010.01004</v>
      </c>
      <c r="G27" s="22">
        <f>+PYG!G41</f>
        <v>2130.9479999999999</v>
      </c>
      <c r="H27" s="22">
        <f>+PYG!H41</f>
        <v>23.10989</v>
      </c>
      <c r="I27" s="22">
        <f>+PYG!I41</f>
        <v>3164.0679300000002</v>
      </c>
      <c r="J27" s="22">
        <f>+PYG!J41</f>
        <v>3314.7603200000003</v>
      </c>
      <c r="K27" s="79">
        <f>+PYG!K41</f>
        <v>0</v>
      </c>
    </row>
    <row r="28" spans="2:11" s="36" customFormat="1" ht="15" x14ac:dyDescent="0.25">
      <c r="B28" s="23">
        <f>+PYG!B42</f>
        <v>54</v>
      </c>
      <c r="C28" s="24" t="str">
        <f>+PYG!C42</f>
        <v>INGRESOS POR SERVICIOS</v>
      </c>
      <c r="D28" s="81">
        <f>+PYG!D42</f>
        <v>0</v>
      </c>
      <c r="E28" s="81">
        <f>+PYG!E42</f>
        <v>0</v>
      </c>
      <c r="F28" s="81">
        <f>+PYG!F42</f>
        <v>0</v>
      </c>
      <c r="G28" s="81">
        <f>+PYG!G42</f>
        <v>702.08416</v>
      </c>
      <c r="H28" s="81">
        <f>+PYG!H42</f>
        <v>1754.16995</v>
      </c>
      <c r="I28" s="81">
        <f>+PYG!I42</f>
        <v>2456.2541099999999</v>
      </c>
      <c r="J28" s="81">
        <f>+PYG!J42</f>
        <v>2456.2541099999999</v>
      </c>
      <c r="K28" s="82">
        <f>+PYG!K42</f>
        <v>0</v>
      </c>
    </row>
    <row r="29" spans="2:11" x14ac:dyDescent="0.2">
      <c r="B29" s="20">
        <f>+PYG!B43</f>
        <v>5404</v>
      </c>
      <c r="C29" s="21" t="str">
        <f>+PYG!C43</f>
        <v xml:space="preserve">        Manejo y cobranzas</v>
      </c>
      <c r="D29" s="22">
        <f>+PYG!D43</f>
        <v>0</v>
      </c>
      <c r="E29" s="22">
        <f>+PYG!E43</f>
        <v>0</v>
      </c>
      <c r="F29" s="22">
        <f>+PYG!F43</f>
        <v>0</v>
      </c>
      <c r="G29" s="22">
        <f>+PYG!G43</f>
        <v>0</v>
      </c>
      <c r="H29" s="22">
        <f>+PYG!H43</f>
        <v>0</v>
      </c>
      <c r="I29" s="22">
        <f>+PYG!I43</f>
        <v>0</v>
      </c>
      <c r="J29" s="22">
        <f>+PYG!J43</f>
        <v>0</v>
      </c>
      <c r="K29" s="79">
        <f>+PYG!K43</f>
        <v>0</v>
      </c>
    </row>
    <row r="30" spans="2:11" x14ac:dyDescent="0.2">
      <c r="B30" s="20">
        <f>+PYG!B44</f>
        <v>5490</v>
      </c>
      <c r="C30" s="21" t="str">
        <f>+PYG!C44</f>
        <v xml:space="preserve">        Otros servicios</v>
      </c>
      <c r="D30" s="22">
        <f>+PYG!D44</f>
        <v>0</v>
      </c>
      <c r="E30" s="22">
        <f>+PYG!E44</f>
        <v>0</v>
      </c>
      <c r="F30" s="22">
        <f>+PYG!F44</f>
        <v>0</v>
      </c>
      <c r="G30" s="22">
        <f>+PYG!G44</f>
        <v>702.08416</v>
      </c>
      <c r="H30" s="22">
        <f>+PYG!H44</f>
        <v>0</v>
      </c>
      <c r="I30" s="22">
        <f>+PYG!I44</f>
        <v>702.08416</v>
      </c>
      <c r="J30" s="22">
        <f>+PYG!J44</f>
        <v>702.08416</v>
      </c>
      <c r="K30" s="79">
        <f>+PYG!K44</f>
        <v>0</v>
      </c>
    </row>
    <row r="31" spans="2:11" s="36" customFormat="1" ht="15" x14ac:dyDescent="0.25">
      <c r="B31" s="23">
        <f>+PYG!B48</f>
        <v>42</v>
      </c>
      <c r="C31" s="24" t="str">
        <f>+PYG!C48</f>
        <v>COMISIONES CAUSADAS</v>
      </c>
      <c r="D31" s="81">
        <f>+PYG!D48</f>
        <v>18.489070000000002</v>
      </c>
      <c r="E31" s="81">
        <f>+PYG!E48</f>
        <v>18.489070000000002</v>
      </c>
      <c r="F31" s="81">
        <f>+PYG!F48</f>
        <v>67.991100000000003</v>
      </c>
      <c r="G31" s="81">
        <f>+PYG!G48</f>
        <v>400.22798999999998</v>
      </c>
      <c r="H31" s="81">
        <f>+PYG!H48</f>
        <v>532.23563000000001</v>
      </c>
      <c r="I31" s="81">
        <f>+PYG!I48</f>
        <v>1000.45472</v>
      </c>
      <c r="J31" s="81">
        <f>+PYG!J48</f>
        <v>1018.9437899999999</v>
      </c>
      <c r="K31" s="82">
        <f>+PYG!K48</f>
        <v>0</v>
      </c>
    </row>
    <row r="32" spans="2:11" x14ac:dyDescent="0.2">
      <c r="B32" s="20">
        <f>+PYG!B49</f>
        <v>4201</v>
      </c>
      <c r="C32" s="21" t="str">
        <f>+PYG!C49</f>
        <v xml:space="preserve">        Obligaciones financieras</v>
      </c>
      <c r="D32" s="22">
        <f>+PYG!D49</f>
        <v>0</v>
      </c>
      <c r="E32" s="22">
        <f>+PYG!E49</f>
        <v>0</v>
      </c>
      <c r="F32" s="22">
        <f>+PYG!F49</f>
        <v>5.9960399999999998</v>
      </c>
      <c r="G32" s="22">
        <f>+PYG!G49</f>
        <v>387.38477999999998</v>
      </c>
      <c r="H32" s="22">
        <f>+PYG!H49</f>
        <v>0</v>
      </c>
      <c r="I32" s="22">
        <f>+PYG!I49</f>
        <v>393.38081999999997</v>
      </c>
      <c r="J32" s="22">
        <f>+PYG!J49</f>
        <v>393.38081999999997</v>
      </c>
      <c r="K32" s="79">
        <f>+PYG!K49</f>
        <v>0</v>
      </c>
    </row>
    <row r="33" spans="2:11" x14ac:dyDescent="0.2">
      <c r="B33" s="20">
        <f>+PYG!B50</f>
        <v>4202</v>
      </c>
      <c r="C33" s="21" t="str">
        <f>+PYG!C50</f>
        <v xml:space="preserve">        Operaciones contingentes</v>
      </c>
      <c r="D33" s="22">
        <f>+PYG!D50</f>
        <v>0</v>
      </c>
      <c r="E33" s="22">
        <f>+PYG!E50</f>
        <v>0</v>
      </c>
      <c r="F33" s="22">
        <f>+PYG!F50</f>
        <v>0</v>
      </c>
      <c r="G33" s="22">
        <f>+PYG!G50</f>
        <v>0</v>
      </c>
      <c r="H33" s="22">
        <f>+PYG!H50</f>
        <v>0</v>
      </c>
      <c r="I33" s="22">
        <f>+PYG!I50</f>
        <v>0</v>
      </c>
      <c r="J33" s="22">
        <f>+PYG!J50</f>
        <v>0</v>
      </c>
      <c r="K33" s="79">
        <f>+PYG!K50</f>
        <v>0</v>
      </c>
    </row>
    <row r="34" spans="2:11" x14ac:dyDescent="0.2">
      <c r="B34" s="20">
        <f>+PYG!B51</f>
        <v>4203</v>
      </c>
      <c r="C34" s="21" t="str">
        <f>+PYG!C51</f>
        <v xml:space="preserve">        Cobranzas</v>
      </c>
      <c r="D34" s="22">
        <f>+PYG!D51</f>
        <v>0</v>
      </c>
      <c r="E34" s="22">
        <f>+PYG!E51</f>
        <v>0</v>
      </c>
      <c r="F34" s="22">
        <f>+PYG!F51</f>
        <v>0</v>
      </c>
      <c r="G34" s="22">
        <f>+PYG!G51</f>
        <v>0</v>
      </c>
      <c r="H34" s="22">
        <f>+PYG!H51</f>
        <v>0</v>
      </c>
      <c r="I34" s="22">
        <f>+PYG!I51</f>
        <v>0</v>
      </c>
      <c r="J34" s="22">
        <f>+PYG!J51</f>
        <v>0</v>
      </c>
      <c r="K34" s="79">
        <f>+PYG!K51</f>
        <v>0</v>
      </c>
    </row>
    <row r="35" spans="2:11" x14ac:dyDescent="0.2">
      <c r="B35" s="20">
        <f>+PYG!B52</f>
        <v>4204</v>
      </c>
      <c r="C35" s="21" t="str">
        <f>+PYG!C52</f>
        <v xml:space="preserve">        Por operaciones de permuta financiera</v>
      </c>
      <c r="D35" s="22">
        <f>+PYG!D52</f>
        <v>0</v>
      </c>
      <c r="E35" s="22">
        <f>+PYG!E52</f>
        <v>0</v>
      </c>
      <c r="F35" s="22">
        <f>+PYG!F52</f>
        <v>0</v>
      </c>
      <c r="G35" s="22">
        <f>+PYG!G52</f>
        <v>0</v>
      </c>
      <c r="H35" s="22">
        <f>+PYG!H52</f>
        <v>0</v>
      </c>
      <c r="I35" s="22">
        <f>+PYG!I52</f>
        <v>0</v>
      </c>
      <c r="J35" s="22">
        <f>+PYG!J52</f>
        <v>0</v>
      </c>
      <c r="K35" s="79">
        <f>+PYG!K52</f>
        <v>0</v>
      </c>
    </row>
    <row r="36" spans="2:11" x14ac:dyDescent="0.2">
      <c r="B36" s="20">
        <f>+PYG!B53</f>
        <v>4205</v>
      </c>
      <c r="C36" s="21" t="str">
        <f>+PYG!C53</f>
        <v xml:space="preserve">        Servicios fiduciarios</v>
      </c>
      <c r="D36" s="22">
        <f>+PYG!D53</f>
        <v>0</v>
      </c>
      <c r="E36" s="22">
        <f>+PYG!E53</f>
        <v>0</v>
      </c>
      <c r="F36" s="22">
        <f>+PYG!F53</f>
        <v>0</v>
      </c>
      <c r="G36" s="22">
        <f>+PYG!G53</f>
        <v>0</v>
      </c>
      <c r="H36" s="22">
        <f>+PYG!H53</f>
        <v>0.7056</v>
      </c>
      <c r="I36" s="22">
        <f>+PYG!I53</f>
        <v>0.7056</v>
      </c>
      <c r="J36" s="22">
        <f>+PYG!J53</f>
        <v>0.7056</v>
      </c>
      <c r="K36" s="79">
        <f>+PYG!K53</f>
        <v>0</v>
      </c>
    </row>
    <row r="37" spans="2:11" x14ac:dyDescent="0.2">
      <c r="B37" s="20">
        <f>+PYG!B54</f>
        <v>4290</v>
      </c>
      <c r="C37" s="21" t="str">
        <f>+PYG!C54</f>
        <v xml:space="preserve">        Varias</v>
      </c>
      <c r="D37" s="22">
        <f>+PYG!D54</f>
        <v>18.489070000000002</v>
      </c>
      <c r="E37" s="22">
        <f>+PYG!E54</f>
        <v>18.489070000000002</v>
      </c>
      <c r="F37" s="22">
        <f>+PYG!F54</f>
        <v>61.995060000000002</v>
      </c>
      <c r="G37" s="22">
        <f>+PYG!G54</f>
        <v>12.843209999999999</v>
      </c>
      <c r="H37" s="22">
        <f>+PYG!H54</f>
        <v>531.53003000000001</v>
      </c>
      <c r="I37" s="22">
        <f>+PYG!I54</f>
        <v>606.36829999999998</v>
      </c>
      <c r="J37" s="22">
        <f>+PYG!J54</f>
        <v>624.85736999999995</v>
      </c>
      <c r="K37" s="79">
        <f>+PYG!K54</f>
        <v>0</v>
      </c>
    </row>
    <row r="38" spans="2:11" s="36" customFormat="1" ht="15" x14ac:dyDescent="0.25">
      <c r="B38" s="23">
        <f>+PYG!B55</f>
        <v>53</v>
      </c>
      <c r="C38" s="24" t="str">
        <f>+PYG!C55</f>
        <v>UTILIDADES FINANCIERAS</v>
      </c>
      <c r="D38" s="81">
        <f>+PYG!D55</f>
        <v>75.163349999999994</v>
      </c>
      <c r="E38" s="81">
        <f>+PYG!E55</f>
        <v>75.163349999999994</v>
      </c>
      <c r="F38" s="81">
        <f>+PYG!F55</f>
        <v>4.8800000000000003E-2</v>
      </c>
      <c r="G38" s="81">
        <f>+PYG!G55</f>
        <v>713.67537000000004</v>
      </c>
      <c r="H38" s="81">
        <f>+PYG!H55</f>
        <v>4278.3980700000002</v>
      </c>
      <c r="I38" s="81">
        <f>+PYG!I55</f>
        <v>4992.1222400000006</v>
      </c>
      <c r="J38" s="81">
        <f>+PYG!J55</f>
        <v>5067.2855900000004</v>
      </c>
      <c r="K38" s="82">
        <f>+PYG!K55</f>
        <v>0</v>
      </c>
    </row>
    <row r="39" spans="2:11" x14ac:dyDescent="0.2">
      <c r="B39" s="20">
        <f>+PYG!B56</f>
        <v>5301</v>
      </c>
      <c r="C39" s="21" t="str">
        <f>+PYG!C56</f>
        <v xml:space="preserve">        Ganancia en cambio</v>
      </c>
      <c r="D39" s="22">
        <f>+PYG!D56</f>
        <v>0</v>
      </c>
      <c r="E39" s="22">
        <f>+PYG!E56</f>
        <v>0</v>
      </c>
      <c r="F39" s="22">
        <f>+PYG!F56</f>
        <v>0</v>
      </c>
      <c r="G39" s="22">
        <f>+PYG!G56</f>
        <v>0</v>
      </c>
      <c r="H39" s="22">
        <f>+PYG!H56</f>
        <v>0</v>
      </c>
      <c r="I39" s="22">
        <f>+PYG!I56</f>
        <v>0</v>
      </c>
      <c r="J39" s="22">
        <f>+PYG!J56</f>
        <v>0</v>
      </c>
      <c r="K39" s="79">
        <f>+PYG!K56</f>
        <v>0</v>
      </c>
    </row>
    <row r="40" spans="2:11" x14ac:dyDescent="0.2">
      <c r="B40" s="20">
        <f>+PYG!B57</f>
        <v>5302</v>
      </c>
      <c r="C40" s="21" t="str">
        <f>+PYG!C57</f>
        <v xml:space="preserve">        En valuación de inversiones</v>
      </c>
      <c r="D40" s="22">
        <f>+PYG!D57</f>
        <v>75.163349999999994</v>
      </c>
      <c r="E40" s="22">
        <f>+PYG!E57</f>
        <v>75.163349999999994</v>
      </c>
      <c r="F40" s="22">
        <f>+PYG!F57</f>
        <v>4.8800000000000003E-2</v>
      </c>
      <c r="G40" s="22">
        <f>+PYG!G57</f>
        <v>704.11316999999997</v>
      </c>
      <c r="H40" s="22">
        <f>+PYG!H57</f>
        <v>153.87164999999999</v>
      </c>
      <c r="I40" s="22">
        <f>+PYG!I57</f>
        <v>858.03361999999993</v>
      </c>
      <c r="J40" s="22">
        <f>+PYG!J57</f>
        <v>933.19696999999996</v>
      </c>
      <c r="K40" s="79">
        <f>+PYG!K57</f>
        <v>0</v>
      </c>
    </row>
    <row r="41" spans="2:11" x14ac:dyDescent="0.2">
      <c r="B41" s="20">
        <f>+PYG!B58</f>
        <v>5303</v>
      </c>
      <c r="C41" s="21" t="str">
        <f>+PYG!C58</f>
        <v xml:space="preserve">        En venta de activos productivos</v>
      </c>
      <c r="D41" s="22">
        <f>+PYG!D58</f>
        <v>0</v>
      </c>
      <c r="E41" s="22">
        <f>+PYG!E58</f>
        <v>0</v>
      </c>
      <c r="F41" s="22">
        <f>+PYG!F58</f>
        <v>0</v>
      </c>
      <c r="G41" s="22">
        <f>+PYG!G58</f>
        <v>0</v>
      </c>
      <c r="H41" s="22">
        <f>+PYG!H58</f>
        <v>521.77538000000004</v>
      </c>
      <c r="I41" s="22">
        <f>+PYG!I58</f>
        <v>521.77538000000004</v>
      </c>
      <c r="J41" s="22">
        <f>+PYG!J58</f>
        <v>521.77538000000004</v>
      </c>
      <c r="K41" s="79">
        <f>+PYG!K58</f>
        <v>0</v>
      </c>
    </row>
    <row r="42" spans="2:11" x14ac:dyDescent="0.2">
      <c r="B42" s="20">
        <f>+PYG!B59</f>
        <v>5304</v>
      </c>
      <c r="C42" s="21" t="str">
        <f>+PYG!C59</f>
        <v xml:space="preserve">        Rendimientos por fideicomiso mercantil</v>
      </c>
      <c r="D42" s="22">
        <f>+PYG!D59</f>
        <v>0</v>
      </c>
      <c r="E42" s="22">
        <f>+PYG!E59</f>
        <v>0</v>
      </c>
      <c r="F42" s="22">
        <f>+PYG!F59</f>
        <v>0</v>
      </c>
      <c r="G42" s="22">
        <f>+PYG!G59</f>
        <v>0</v>
      </c>
      <c r="H42" s="22">
        <f>+PYG!H59</f>
        <v>3561.4948300000001</v>
      </c>
      <c r="I42" s="22">
        <f>+PYG!I59</f>
        <v>3561.4948300000001</v>
      </c>
      <c r="J42" s="22">
        <f>+PYG!J59</f>
        <v>3561.4948300000001</v>
      </c>
      <c r="K42" s="79">
        <f>+PYG!K59</f>
        <v>0</v>
      </c>
    </row>
    <row r="43" spans="2:11" x14ac:dyDescent="0.2">
      <c r="B43" s="20">
        <f>+PYG!B60</f>
        <v>5305</v>
      </c>
      <c r="C43" s="21" t="str">
        <f>+PYG!C60</f>
        <v xml:space="preserve">        Arrendamiento financiero</v>
      </c>
      <c r="D43" s="22">
        <f>+PYG!D60</f>
        <v>0</v>
      </c>
      <c r="E43" s="22">
        <f>+PYG!E60</f>
        <v>0</v>
      </c>
      <c r="F43" s="22">
        <f>+PYG!F60</f>
        <v>0</v>
      </c>
      <c r="G43" s="22">
        <f>+PYG!G60</f>
        <v>9.5622000000000007</v>
      </c>
      <c r="H43" s="22">
        <f>+PYG!H60</f>
        <v>41.256210000000003</v>
      </c>
      <c r="I43" s="22">
        <f>+PYG!I60</f>
        <v>50.81841</v>
      </c>
      <c r="J43" s="22">
        <f>+PYG!J60</f>
        <v>50.81841</v>
      </c>
      <c r="K43" s="79">
        <f>+PYG!K60</f>
        <v>0</v>
      </c>
    </row>
    <row r="44" spans="2:11" s="36" customFormat="1" ht="15" x14ac:dyDescent="0.25">
      <c r="B44" s="23">
        <f>+PYG!B61</f>
        <v>43</v>
      </c>
      <c r="C44" s="24" t="str">
        <f>+PYG!C61</f>
        <v>PERDIDAS FINANCIERAS</v>
      </c>
      <c r="D44" s="81">
        <f>+PYG!D61</f>
        <v>25.474039999999999</v>
      </c>
      <c r="E44" s="81">
        <f>+PYG!E61</f>
        <v>25.474039999999999</v>
      </c>
      <c r="F44" s="81">
        <f>+PYG!F61</f>
        <v>0</v>
      </c>
      <c r="G44" s="81">
        <f>+PYG!G61</f>
        <v>0</v>
      </c>
      <c r="H44" s="81">
        <f>+PYG!H61</f>
        <v>4312.7677400000002</v>
      </c>
      <c r="I44" s="81">
        <f>+PYG!I61</f>
        <v>4312.7677400000002</v>
      </c>
      <c r="J44" s="81">
        <f>+PYG!J61</f>
        <v>4338.2417800000003</v>
      </c>
      <c r="K44" s="82">
        <f>+PYG!K61</f>
        <v>0</v>
      </c>
    </row>
    <row r="45" spans="2:11" x14ac:dyDescent="0.2">
      <c r="B45" s="20">
        <f>+PYG!B62</f>
        <v>4301</v>
      </c>
      <c r="C45" s="21" t="str">
        <f>+PYG!C62</f>
        <v xml:space="preserve">        Pérdida en cambio</v>
      </c>
      <c r="D45" s="22">
        <f>+PYG!D62</f>
        <v>5.602E-2</v>
      </c>
      <c r="E45" s="22">
        <f>+PYG!E62</f>
        <v>5.602E-2</v>
      </c>
      <c r="F45" s="22">
        <f>+PYG!F62</f>
        <v>0</v>
      </c>
      <c r="G45" s="22">
        <f>+PYG!G62</f>
        <v>0</v>
      </c>
      <c r="H45" s="22">
        <f>+PYG!H62</f>
        <v>0</v>
      </c>
      <c r="I45" s="22">
        <f>+PYG!I62</f>
        <v>0</v>
      </c>
      <c r="J45" s="22">
        <f>+PYG!J62</f>
        <v>5.602E-2</v>
      </c>
      <c r="K45" s="79">
        <f>+PYG!K62</f>
        <v>0</v>
      </c>
    </row>
    <row r="46" spans="2:11" x14ac:dyDescent="0.2">
      <c r="B46" s="20">
        <f>+PYG!B63</f>
        <v>4302</v>
      </c>
      <c r="C46" s="21" t="str">
        <f>+PYG!C63</f>
        <v xml:space="preserve">        En valuación de inversiones</v>
      </c>
      <c r="D46" s="22">
        <f>+PYG!D63</f>
        <v>18.93882</v>
      </c>
      <c r="E46" s="22">
        <f>+PYG!E63</f>
        <v>18.93882</v>
      </c>
      <c r="F46" s="22">
        <f>+PYG!F63</f>
        <v>0</v>
      </c>
      <c r="G46" s="22">
        <f>+PYG!G63</f>
        <v>0</v>
      </c>
      <c r="H46" s="22">
        <f>+PYG!H63</f>
        <v>261.94286</v>
      </c>
      <c r="I46" s="22">
        <f>+PYG!I63</f>
        <v>261.94286</v>
      </c>
      <c r="J46" s="22">
        <f>+PYG!J63</f>
        <v>280.88168000000002</v>
      </c>
      <c r="K46" s="79">
        <f>+PYG!K63</f>
        <v>0</v>
      </c>
    </row>
    <row r="47" spans="2:11" x14ac:dyDescent="0.2">
      <c r="B47" s="20">
        <f>+PYG!B64</f>
        <v>4303</v>
      </c>
      <c r="C47" s="21" t="str">
        <f>+PYG!C64</f>
        <v xml:space="preserve">        En venta de activos productivos</v>
      </c>
      <c r="D47" s="22">
        <f>+PYG!D64</f>
        <v>6.4791999999999996</v>
      </c>
      <c r="E47" s="22">
        <f>+PYG!E64</f>
        <v>6.4791999999999996</v>
      </c>
      <c r="F47" s="22">
        <f>+PYG!F64</f>
        <v>0</v>
      </c>
      <c r="G47" s="22">
        <f>+PYG!G64</f>
        <v>0</v>
      </c>
      <c r="H47" s="22">
        <f>+PYG!H64</f>
        <v>790.36243999999999</v>
      </c>
      <c r="I47" s="22">
        <f>+PYG!I64</f>
        <v>790.36243999999999</v>
      </c>
      <c r="J47" s="22">
        <f>+PYG!J64</f>
        <v>796.84163999999998</v>
      </c>
      <c r="K47" s="79">
        <f>+PYG!K64</f>
        <v>0</v>
      </c>
    </row>
    <row r="48" spans="2:11" x14ac:dyDescent="0.2">
      <c r="B48" s="20">
        <f>+PYG!B65</f>
        <v>4304</v>
      </c>
      <c r="C48" s="21" t="str">
        <f>+PYG!C65</f>
        <v xml:space="preserve">        Pérdidas por fideicomiso mercantil</v>
      </c>
      <c r="D48" s="22">
        <f>+PYG!D65</f>
        <v>0</v>
      </c>
      <c r="E48" s="22">
        <f>+PYG!E65</f>
        <v>0</v>
      </c>
      <c r="F48" s="22">
        <f>+PYG!F65</f>
        <v>0</v>
      </c>
      <c r="G48" s="22">
        <f>+PYG!G65</f>
        <v>0</v>
      </c>
      <c r="H48" s="22">
        <f>+PYG!H65</f>
        <v>3260.4624399999998</v>
      </c>
      <c r="I48" s="22">
        <f>+PYG!I65</f>
        <v>3260.4624399999998</v>
      </c>
      <c r="J48" s="22">
        <f>+PYG!J65</f>
        <v>3260.4624399999998</v>
      </c>
      <c r="K48" s="79">
        <f>+PYG!K65</f>
        <v>0</v>
      </c>
    </row>
    <row r="49" spans="2:11" s="36" customFormat="1" ht="15" x14ac:dyDescent="0.25">
      <c r="B49" s="23"/>
      <c r="C49" s="24" t="str">
        <f>+PYG!C66</f>
        <v>MARGEN BRUTO FINANCIERO</v>
      </c>
      <c r="D49" s="81">
        <f>+PYG!D66</f>
        <v>8673.1114899999993</v>
      </c>
      <c r="E49" s="81">
        <f>+PYG!E66</f>
        <v>8673.1114899999993</v>
      </c>
      <c r="F49" s="81">
        <f>+PYG!F66</f>
        <v>47730.059159999997</v>
      </c>
      <c r="G49" s="81">
        <f>+PYG!G66</f>
        <v>61811.043539999999</v>
      </c>
      <c r="H49" s="81">
        <f>+PYG!H66</f>
        <v>62840.64097</v>
      </c>
      <c r="I49" s="81">
        <f>+PYG!I66</f>
        <v>172381.74367</v>
      </c>
      <c r="J49" s="81">
        <f>+PYG!J66</f>
        <v>181054.85516000001</v>
      </c>
      <c r="K49" s="82">
        <f>+PYG!K66</f>
        <v>12465.036550000001</v>
      </c>
    </row>
    <row r="50" spans="2:11" x14ac:dyDescent="0.2">
      <c r="B50" s="20"/>
      <c r="C50" s="21"/>
      <c r="D50" s="22"/>
      <c r="E50" s="22"/>
      <c r="F50" s="22"/>
      <c r="G50" s="22"/>
      <c r="H50" s="22"/>
      <c r="I50" s="22"/>
      <c r="J50" s="22"/>
      <c r="K50" s="79"/>
    </row>
    <row r="51" spans="2:11" s="36" customFormat="1" ht="15" x14ac:dyDescent="0.25">
      <c r="B51" s="23">
        <f>+PYG!B68</f>
        <v>44</v>
      </c>
      <c r="C51" s="24" t="str">
        <f>+PYG!C68</f>
        <v>PROVISIONES</v>
      </c>
      <c r="D51" s="81">
        <f>+PYG!D68</f>
        <v>12146.660819999999</v>
      </c>
      <c r="E51" s="81">
        <f>+PYG!E68</f>
        <v>12146.660819999999</v>
      </c>
      <c r="F51" s="81">
        <f>+PYG!F68</f>
        <v>525.81852000000003</v>
      </c>
      <c r="G51" s="81">
        <f>+PYG!G68</f>
        <v>33409.827019999997</v>
      </c>
      <c r="H51" s="81">
        <f>+PYG!H68</f>
        <v>28255.297299999998</v>
      </c>
      <c r="I51" s="81">
        <f>+PYG!I68</f>
        <v>62190.942839999996</v>
      </c>
      <c r="J51" s="81">
        <f>+PYG!J68</f>
        <v>74337.603659999993</v>
      </c>
      <c r="K51" s="82">
        <f>+PYG!K68</f>
        <v>177.54675</v>
      </c>
    </row>
    <row r="52" spans="2:11" x14ac:dyDescent="0.2">
      <c r="B52" s="20">
        <f>+PYG!B69</f>
        <v>4401</v>
      </c>
      <c r="C52" s="21" t="str">
        <f>+PYG!C69</f>
        <v xml:space="preserve">        Inversiones</v>
      </c>
      <c r="D52" s="22">
        <f>+PYG!D69</f>
        <v>6.0000000000000002E-5</v>
      </c>
      <c r="E52" s="22">
        <f>+PYG!E69</f>
        <v>6.0000000000000002E-5</v>
      </c>
      <c r="F52" s="22">
        <f>+PYG!F69</f>
        <v>15.53604</v>
      </c>
      <c r="G52" s="22">
        <f>+PYG!G69</f>
        <v>560.30565000000001</v>
      </c>
      <c r="H52" s="22">
        <f>+PYG!H69</f>
        <v>6.5674799999999998</v>
      </c>
      <c r="I52" s="22">
        <f>+PYG!I69</f>
        <v>582.40917000000002</v>
      </c>
      <c r="J52" s="22">
        <f>+PYG!J69</f>
        <v>582.40922999999998</v>
      </c>
      <c r="K52" s="79">
        <f>+PYG!K69</f>
        <v>0</v>
      </c>
    </row>
    <row r="53" spans="2:11" x14ac:dyDescent="0.2">
      <c r="B53" s="20">
        <f>+PYG!B70</f>
        <v>4402</v>
      </c>
      <c r="C53" s="21" t="str">
        <f>+PYG!C70</f>
        <v xml:space="preserve">        Cartera de créditos</v>
      </c>
      <c r="D53" s="22">
        <f>+PYG!D70</f>
        <v>11416.71048</v>
      </c>
      <c r="E53" s="22">
        <f>+PYG!E70</f>
        <v>11416.71048</v>
      </c>
      <c r="F53" s="22">
        <f>+PYG!F70</f>
        <v>478.19992999999999</v>
      </c>
      <c r="G53" s="22">
        <f>+PYG!G70</f>
        <v>29328.744549999999</v>
      </c>
      <c r="H53" s="22">
        <f>+PYG!H70</f>
        <v>15673.069810000001</v>
      </c>
      <c r="I53" s="22">
        <f>+PYG!I70</f>
        <v>45480.014289999999</v>
      </c>
      <c r="J53" s="22">
        <f>+PYG!J70</f>
        <v>56896.724770000001</v>
      </c>
      <c r="K53" s="79">
        <f>+PYG!K70</f>
        <v>-808.55097000000001</v>
      </c>
    </row>
    <row r="54" spans="2:11" x14ac:dyDescent="0.2">
      <c r="B54" s="20">
        <f>+PYG!B71</f>
        <v>4403</v>
      </c>
      <c r="C54" s="21" t="str">
        <f>+PYG!C71</f>
        <v xml:space="preserve">        Cuentas por cobrar</v>
      </c>
      <c r="D54" s="22">
        <f>+PYG!D71</f>
        <v>537.03300000000002</v>
      </c>
      <c r="E54" s="22">
        <f>+PYG!E71</f>
        <v>537.03300000000002</v>
      </c>
      <c r="F54" s="22">
        <f>+PYG!F71</f>
        <v>32.082549999999998</v>
      </c>
      <c r="G54" s="22">
        <f>+PYG!G71</f>
        <v>3285.5598100000002</v>
      </c>
      <c r="H54" s="22">
        <f>+PYG!H71</f>
        <v>6828.7121900000002</v>
      </c>
      <c r="I54" s="22">
        <f>+PYG!I71</f>
        <v>10146.35455</v>
      </c>
      <c r="J54" s="22">
        <f>+PYG!J71</f>
        <v>10683.387549999999</v>
      </c>
      <c r="K54" s="79">
        <f>+PYG!K71</f>
        <v>974.44385</v>
      </c>
    </row>
    <row r="55" spans="2:11" x14ac:dyDescent="0.2">
      <c r="B55" s="20">
        <f>+PYG!B72</f>
        <v>4404</v>
      </c>
      <c r="C55" s="21" t="str">
        <f>+PYG!C72</f>
        <v xml:space="preserve">        Bienes realizables, adjudicados por pago y de arrendamiento mercantil</v>
      </c>
      <c r="D55" s="22">
        <f>+PYG!D72</f>
        <v>96.121740000000003</v>
      </c>
      <c r="E55" s="22">
        <f>+PYG!E72</f>
        <v>96.121740000000003</v>
      </c>
      <c r="F55" s="22">
        <f>+PYG!F72</f>
        <v>0</v>
      </c>
      <c r="G55" s="22">
        <f>+PYG!G72</f>
        <v>0</v>
      </c>
      <c r="H55" s="22">
        <f>+PYG!H72</f>
        <v>1651.16769</v>
      </c>
      <c r="I55" s="22">
        <f>+PYG!I72</f>
        <v>1651.16769</v>
      </c>
      <c r="J55" s="22">
        <f>+PYG!J72</f>
        <v>1747.28943</v>
      </c>
      <c r="K55" s="79">
        <f>+PYG!K72</f>
        <v>0</v>
      </c>
    </row>
    <row r="56" spans="2:11" x14ac:dyDescent="0.2">
      <c r="B56" s="20">
        <f>+PYG!B73</f>
        <v>4405</v>
      </c>
      <c r="C56" s="21" t="str">
        <f>+PYG!C73</f>
        <v xml:space="preserve">        Otros activos</v>
      </c>
      <c r="D56" s="22">
        <f>+PYG!D73</f>
        <v>96.795540000000003</v>
      </c>
      <c r="E56" s="22">
        <f>+PYG!E73</f>
        <v>96.795540000000003</v>
      </c>
      <c r="F56" s="22">
        <f>+PYG!F73</f>
        <v>0</v>
      </c>
      <c r="G56" s="22">
        <f>+PYG!G73</f>
        <v>235.21700999999999</v>
      </c>
      <c r="H56" s="22">
        <f>+PYG!H73</f>
        <v>4095.7801300000001</v>
      </c>
      <c r="I56" s="22">
        <f>+PYG!I73</f>
        <v>4330.9971400000004</v>
      </c>
      <c r="J56" s="22">
        <f>+PYG!J73</f>
        <v>4427.7926800000005</v>
      </c>
      <c r="K56" s="79">
        <f>+PYG!K73</f>
        <v>11.65387</v>
      </c>
    </row>
    <row r="57" spans="2:11" x14ac:dyDescent="0.2">
      <c r="B57" s="20">
        <f>+PYG!B74</f>
        <v>4406</v>
      </c>
      <c r="C57" s="21" t="str">
        <f>+PYG!C74</f>
        <v xml:space="preserve">        Operaciones contingentes</v>
      </c>
      <c r="D57" s="22">
        <f>+PYG!D74</f>
        <v>0</v>
      </c>
      <c r="E57" s="22">
        <f>+PYG!E74</f>
        <v>0</v>
      </c>
      <c r="F57" s="22">
        <f>+PYG!F74</f>
        <v>0</v>
      </c>
      <c r="G57" s="22">
        <f>+PYG!G74</f>
        <v>0</v>
      </c>
      <c r="H57" s="22">
        <f>+PYG!H74</f>
        <v>0</v>
      </c>
      <c r="I57" s="22">
        <f>+PYG!I74</f>
        <v>0</v>
      </c>
      <c r="J57" s="22">
        <f>+PYG!J74</f>
        <v>0</v>
      </c>
      <c r="K57" s="79">
        <f>+PYG!K74</f>
        <v>0</v>
      </c>
    </row>
    <row r="58" spans="2:11" s="36" customFormat="1" ht="15" x14ac:dyDescent="0.25">
      <c r="B58" s="23"/>
      <c r="C58" s="24" t="str">
        <f>+PYG!C75</f>
        <v>MARGEN NETO FINANCIERO</v>
      </c>
      <c r="D58" s="81">
        <f>+PYG!D75</f>
        <v>-3473.5493299999998</v>
      </c>
      <c r="E58" s="81">
        <f>+PYG!E75</f>
        <v>-3473.5493299999998</v>
      </c>
      <c r="F58" s="81">
        <f>+PYG!F75</f>
        <v>47204.240640000004</v>
      </c>
      <c r="G58" s="81">
        <f>+PYG!G75</f>
        <v>28401.216520000002</v>
      </c>
      <c r="H58" s="81">
        <f>+PYG!H75</f>
        <v>34585.343670000002</v>
      </c>
      <c r="I58" s="81">
        <f>+PYG!I75</f>
        <v>110190.80083000001</v>
      </c>
      <c r="J58" s="81">
        <f>+PYG!J75</f>
        <v>106717.25150000001</v>
      </c>
      <c r="K58" s="82">
        <f>+PYG!K75</f>
        <v>12287.489799999999</v>
      </c>
    </row>
    <row r="59" spans="2:11" x14ac:dyDescent="0.2">
      <c r="B59" s="20"/>
      <c r="C59" s="21"/>
      <c r="D59" s="22"/>
      <c r="E59" s="22"/>
      <c r="F59" s="22"/>
      <c r="G59" s="22"/>
      <c r="H59" s="22"/>
      <c r="I59" s="22"/>
      <c r="J59" s="22"/>
      <c r="K59" s="79"/>
    </row>
    <row r="60" spans="2:11" s="36" customFormat="1" ht="15" x14ac:dyDescent="0.25">
      <c r="B60" s="23">
        <f>+PYG!B77</f>
        <v>45</v>
      </c>
      <c r="C60" s="24" t="str">
        <f>+PYG!C77</f>
        <v>GASTOS DE OPERACION</v>
      </c>
      <c r="D60" s="81">
        <f>+PYG!D77</f>
        <v>8497.8419699999995</v>
      </c>
      <c r="E60" s="81">
        <f>+PYG!E77</f>
        <v>8497.8419699999995</v>
      </c>
      <c r="F60" s="81">
        <f>+PYG!F77</f>
        <v>10084.52269</v>
      </c>
      <c r="G60" s="81">
        <f>+PYG!G77</f>
        <v>53217.844259999998</v>
      </c>
      <c r="H60" s="81">
        <f>+PYG!H77</f>
        <v>30063.077669999999</v>
      </c>
      <c r="I60" s="81">
        <f>+PYG!I77</f>
        <v>93365.444619999995</v>
      </c>
      <c r="J60" s="81">
        <f>+PYG!J77</f>
        <v>101863.28658999999</v>
      </c>
      <c r="K60" s="82">
        <f>+PYG!K77</f>
        <v>8458.0173799999993</v>
      </c>
    </row>
    <row r="61" spans="2:11" x14ac:dyDescent="0.2">
      <c r="B61" s="20">
        <f>+PYG!B78</f>
        <v>4501</v>
      </c>
      <c r="C61" s="21" t="str">
        <f>+PYG!C78</f>
        <v xml:space="preserve">        Gastos de personal</v>
      </c>
      <c r="D61" s="22">
        <f>+PYG!D78</f>
        <v>5132.9870099999998</v>
      </c>
      <c r="E61" s="22">
        <f>+PYG!E78</f>
        <v>5132.9870099999998</v>
      </c>
      <c r="F61" s="22">
        <f>+PYG!F78</f>
        <v>7903.5798500000001</v>
      </c>
      <c r="G61" s="22">
        <f>+PYG!G78</f>
        <v>34384.132769999997</v>
      </c>
      <c r="H61" s="22">
        <f>+PYG!H78</f>
        <v>17209.658660000001</v>
      </c>
      <c r="I61" s="22">
        <f>+PYG!I78</f>
        <v>59497.371279999999</v>
      </c>
      <c r="J61" s="22">
        <f>+PYG!J78</f>
        <v>64630.358289999996</v>
      </c>
      <c r="K61" s="79">
        <f>+PYG!K78</f>
        <v>6111.5889699999998</v>
      </c>
    </row>
    <row r="62" spans="2:11" x14ac:dyDescent="0.2">
      <c r="B62" s="20">
        <f>+PYG!B79</f>
        <v>4502</v>
      </c>
      <c r="C62" s="21" t="str">
        <f>+PYG!C79</f>
        <v xml:space="preserve">        Honorarios</v>
      </c>
      <c r="D62" s="22">
        <f>+PYG!D79</f>
        <v>883.59166000000005</v>
      </c>
      <c r="E62" s="22">
        <f>+PYG!E79</f>
        <v>883.59166000000005</v>
      </c>
      <c r="F62" s="22">
        <f>+PYG!F79</f>
        <v>0.70962000000000003</v>
      </c>
      <c r="G62" s="22">
        <f>+PYG!G79</f>
        <v>6.1273600000000004</v>
      </c>
      <c r="H62" s="22">
        <f>+PYG!H79</f>
        <v>123.13857</v>
      </c>
      <c r="I62" s="22">
        <f>+PYG!I79</f>
        <v>129.97555</v>
      </c>
      <c r="J62" s="22">
        <f>+PYG!J79</f>
        <v>1013.56721</v>
      </c>
      <c r="K62" s="79">
        <f>+PYG!K79</f>
        <v>0.70226999999999995</v>
      </c>
    </row>
    <row r="63" spans="2:11" x14ac:dyDescent="0.2">
      <c r="B63" s="20">
        <f>+PYG!B80</f>
        <v>4503</v>
      </c>
      <c r="C63" s="21" t="str">
        <f>+PYG!C80</f>
        <v xml:space="preserve">        Servicios varios</v>
      </c>
      <c r="D63" s="22">
        <f>+PYG!D80</f>
        <v>1005.88025</v>
      </c>
      <c r="E63" s="22">
        <f>+PYG!E80</f>
        <v>1005.88025</v>
      </c>
      <c r="F63" s="22">
        <f>+PYG!F80</f>
        <v>736.55023000000006</v>
      </c>
      <c r="G63" s="22">
        <f>+PYG!G80</f>
        <v>9482.1535299999996</v>
      </c>
      <c r="H63" s="22">
        <f>+PYG!H80</f>
        <v>4621.4462400000002</v>
      </c>
      <c r="I63" s="22">
        <f>+PYG!I80</f>
        <v>14840.150000000001</v>
      </c>
      <c r="J63" s="22">
        <f>+PYG!J80</f>
        <v>15846.030250000002</v>
      </c>
      <c r="K63" s="79">
        <f>+PYG!K80</f>
        <v>1081.0242599999999</v>
      </c>
    </row>
    <row r="64" spans="2:11" x14ac:dyDescent="0.2">
      <c r="B64" s="20">
        <f>+PYG!B81</f>
        <v>4504</v>
      </c>
      <c r="C64" s="21" t="str">
        <f>+PYG!C81</f>
        <v xml:space="preserve">        Impuestos, contribuciones y multas</v>
      </c>
      <c r="D64" s="22">
        <f>+PYG!D81</f>
        <v>349.08157</v>
      </c>
      <c r="E64" s="22">
        <f>+PYG!E81</f>
        <v>349.08157</v>
      </c>
      <c r="F64" s="22">
        <f>+PYG!F81</f>
        <v>188.04728</v>
      </c>
      <c r="G64" s="22">
        <f>+PYG!G81</f>
        <v>3855.3663499999998</v>
      </c>
      <c r="H64" s="22">
        <f>+PYG!H81</f>
        <v>1971.30492</v>
      </c>
      <c r="I64" s="22">
        <f>+PYG!I81</f>
        <v>6014.7185499999996</v>
      </c>
      <c r="J64" s="22">
        <f>+PYG!J81</f>
        <v>6363.8001199999999</v>
      </c>
      <c r="K64" s="79">
        <f>+PYG!K81</f>
        <v>160.25958</v>
      </c>
    </row>
    <row r="65" spans="2:11" x14ac:dyDescent="0.2">
      <c r="B65" s="20">
        <f>+PYG!B82</f>
        <v>4505</v>
      </c>
      <c r="C65" s="21" t="str">
        <f>+PYG!C82</f>
        <v xml:space="preserve">        Depreciaciones</v>
      </c>
      <c r="D65" s="22">
        <f>+PYG!D82</f>
        <v>259.78003999999999</v>
      </c>
      <c r="E65" s="22">
        <f>+PYG!E82</f>
        <v>259.78003999999999</v>
      </c>
      <c r="F65" s="22">
        <f>+PYG!F82</f>
        <v>678.80323999999996</v>
      </c>
      <c r="G65" s="22">
        <f>+PYG!G82</f>
        <v>683.77153999999996</v>
      </c>
      <c r="H65" s="22">
        <f>+PYG!H82</f>
        <v>2185.6536000000001</v>
      </c>
      <c r="I65" s="22">
        <f>+PYG!I82</f>
        <v>3548.22838</v>
      </c>
      <c r="J65" s="22">
        <f>+PYG!J82</f>
        <v>3808.0084200000001</v>
      </c>
      <c r="K65" s="79">
        <f>+PYG!K82</f>
        <v>530.27371000000005</v>
      </c>
    </row>
    <row r="66" spans="2:11" x14ac:dyDescent="0.2">
      <c r="B66" s="20">
        <f>+PYG!B83</f>
        <v>4506</v>
      </c>
      <c r="C66" s="21" t="str">
        <f>+PYG!C83</f>
        <v xml:space="preserve">        Amortizaciones</v>
      </c>
      <c r="D66" s="22">
        <f>+PYG!D83</f>
        <v>113.36557999999999</v>
      </c>
      <c r="E66" s="22">
        <f>+PYG!E83</f>
        <v>113.36557999999999</v>
      </c>
      <c r="F66" s="22">
        <f>+PYG!F83</f>
        <v>65.446870000000004</v>
      </c>
      <c r="G66" s="22">
        <f>+PYG!G83</f>
        <v>1770.3126</v>
      </c>
      <c r="H66" s="22">
        <f>+PYG!H83</f>
        <v>547.96493999999996</v>
      </c>
      <c r="I66" s="22">
        <f>+PYG!I83</f>
        <v>2383.7244099999998</v>
      </c>
      <c r="J66" s="22">
        <f>+PYG!J83</f>
        <v>2497.0899899999999</v>
      </c>
      <c r="K66" s="79">
        <f>+PYG!K83</f>
        <v>0</v>
      </c>
    </row>
    <row r="67" spans="2:11" x14ac:dyDescent="0.2">
      <c r="B67" s="20">
        <f>+PYG!B84</f>
        <v>4507</v>
      </c>
      <c r="C67" s="21" t="str">
        <f>+PYG!C84</f>
        <v xml:space="preserve">        Otros gastos</v>
      </c>
      <c r="D67" s="22">
        <f>+PYG!D84</f>
        <v>753.15585999999996</v>
      </c>
      <c r="E67" s="22">
        <f>+PYG!E84</f>
        <v>753.15585999999996</v>
      </c>
      <c r="F67" s="22">
        <f>+PYG!F84</f>
        <v>511.38560000000001</v>
      </c>
      <c r="G67" s="22">
        <f>+PYG!G84</f>
        <v>3035.98011</v>
      </c>
      <c r="H67" s="22">
        <f>+PYG!H84</f>
        <v>3403.9107399999998</v>
      </c>
      <c r="I67" s="22">
        <f>+PYG!I84</f>
        <v>6951.2764499999994</v>
      </c>
      <c r="J67" s="22">
        <f>+PYG!J84</f>
        <v>7704.4323099999992</v>
      </c>
      <c r="K67" s="79">
        <f>+PYG!K84</f>
        <v>574.16858999999999</v>
      </c>
    </row>
    <row r="68" spans="2:11" s="36" customFormat="1" ht="15" x14ac:dyDescent="0.25">
      <c r="B68" s="23"/>
      <c r="C68" s="24" t="str">
        <f>+PYG!C85</f>
        <v>MARGEN DE INTERMEDIACION</v>
      </c>
      <c r="D68" s="81">
        <f>+PYG!D85</f>
        <v>-11971.391299999999</v>
      </c>
      <c r="E68" s="81">
        <f>+PYG!E85</f>
        <v>-11971.391299999999</v>
      </c>
      <c r="F68" s="81">
        <f>+PYG!F85</f>
        <v>37119.717949999998</v>
      </c>
      <c r="G68" s="81">
        <f>+PYG!G85</f>
        <v>-24816.62774</v>
      </c>
      <c r="H68" s="81">
        <f>+PYG!H85</f>
        <v>4522.2659999999996</v>
      </c>
      <c r="I68" s="81">
        <f>+PYG!I85</f>
        <v>16825.356209999998</v>
      </c>
      <c r="J68" s="81">
        <f>+PYG!J85</f>
        <v>4853.9649099999988</v>
      </c>
      <c r="K68" s="82">
        <f>+PYG!K85</f>
        <v>3829.4724200000001</v>
      </c>
    </row>
    <row r="69" spans="2:11" x14ac:dyDescent="0.2">
      <c r="B69" s="20"/>
      <c r="C69" s="21"/>
      <c r="D69" s="22"/>
      <c r="E69" s="22"/>
      <c r="F69" s="22"/>
      <c r="G69" s="22"/>
      <c r="H69" s="22"/>
      <c r="I69" s="22"/>
      <c r="J69" s="22"/>
      <c r="K69" s="79"/>
    </row>
    <row r="70" spans="2:11" s="36" customFormat="1" ht="15" x14ac:dyDescent="0.25">
      <c r="B70" s="23">
        <f>+PYG!B87</f>
        <v>55</v>
      </c>
      <c r="C70" s="24" t="str">
        <f>+PYG!C87</f>
        <v>OTROS INGRESOS OPERACIONALES</v>
      </c>
      <c r="D70" s="81">
        <f>+PYG!D87</f>
        <v>963.91768999999999</v>
      </c>
      <c r="E70" s="81">
        <f>+PYG!E87</f>
        <v>963.91768999999999</v>
      </c>
      <c r="F70" s="81">
        <f>+PYG!F87</f>
        <v>0</v>
      </c>
      <c r="G70" s="81">
        <f>+PYG!G87</f>
        <v>0.49069000000000002</v>
      </c>
      <c r="H70" s="81">
        <f>+PYG!H87</f>
        <v>41522.805639999999</v>
      </c>
      <c r="I70" s="81">
        <f>+PYG!I87</f>
        <v>41523.296329999997</v>
      </c>
      <c r="J70" s="81">
        <f>+PYG!J87</f>
        <v>42487.214019999999</v>
      </c>
      <c r="K70" s="82">
        <f>+PYG!K87</f>
        <v>0</v>
      </c>
    </row>
    <row r="71" spans="2:11" x14ac:dyDescent="0.2">
      <c r="B71" s="20">
        <f>+PYG!B88</f>
        <v>5502</v>
      </c>
      <c r="C71" s="21" t="str">
        <f>+PYG!C88</f>
        <v xml:space="preserve">        Utilidad en venta de bienes realizables y recuperados</v>
      </c>
      <c r="D71" s="22">
        <f>+PYG!D88</f>
        <v>114.33022</v>
      </c>
      <c r="E71" s="22">
        <f>+PYG!E88</f>
        <v>114.33022</v>
      </c>
      <c r="F71" s="22">
        <f>+PYG!F88</f>
        <v>0</v>
      </c>
      <c r="G71" s="22">
        <f>+PYG!G88</f>
        <v>0</v>
      </c>
      <c r="H71" s="22">
        <f>+PYG!H88</f>
        <v>0</v>
      </c>
      <c r="I71" s="22">
        <f>+PYG!I88</f>
        <v>0</v>
      </c>
      <c r="J71" s="22">
        <f>+PYG!J88</f>
        <v>114.33022</v>
      </c>
      <c r="K71" s="79">
        <f>+PYG!K88</f>
        <v>0</v>
      </c>
    </row>
    <row r="72" spans="2:11" x14ac:dyDescent="0.2">
      <c r="B72" s="20">
        <f>+PYG!B89</f>
        <v>5590</v>
      </c>
      <c r="C72" s="21" t="str">
        <f>+PYG!C89</f>
        <v xml:space="preserve">        Otros</v>
      </c>
      <c r="D72" s="22">
        <f>+PYG!D89</f>
        <v>0</v>
      </c>
      <c r="E72" s="22">
        <f>+PYG!E89</f>
        <v>0</v>
      </c>
      <c r="F72" s="22">
        <f>+PYG!F89</f>
        <v>0</v>
      </c>
      <c r="G72" s="22">
        <f>+PYG!G89</f>
        <v>9.3900000000000008E-3</v>
      </c>
      <c r="H72" s="22">
        <f>+PYG!H89</f>
        <v>0</v>
      </c>
      <c r="I72" s="22">
        <f>+PYG!I89</f>
        <v>9.3900000000000008E-3</v>
      </c>
      <c r="J72" s="22">
        <f>+PYG!J89</f>
        <v>9.3900000000000008E-3</v>
      </c>
      <c r="K72" s="79">
        <f>+PYG!K89</f>
        <v>0</v>
      </c>
    </row>
    <row r="73" spans="2:11" s="36" customFormat="1" ht="15" x14ac:dyDescent="0.25">
      <c r="B73" s="23">
        <f>+PYG!B90</f>
        <v>46</v>
      </c>
      <c r="C73" s="24" t="str">
        <f>+PYG!C90</f>
        <v>OTRAS PERDIDAS OPERACIONALES</v>
      </c>
      <c r="D73" s="81">
        <f>+PYG!D90</f>
        <v>674.77242999999999</v>
      </c>
      <c r="E73" s="81">
        <f>+PYG!E90</f>
        <v>674.77242999999999</v>
      </c>
      <c r="F73" s="81">
        <f>+PYG!F90</f>
        <v>6.0000000000000002E-5</v>
      </c>
      <c r="G73" s="81">
        <f>+PYG!G90</f>
        <v>15.26451</v>
      </c>
      <c r="H73" s="81">
        <f>+PYG!H90</f>
        <v>1032.62637</v>
      </c>
      <c r="I73" s="81">
        <f>+PYG!I90</f>
        <v>1047.89094</v>
      </c>
      <c r="J73" s="81">
        <f>+PYG!J90</f>
        <v>1722.66337</v>
      </c>
      <c r="K73" s="82">
        <f>+PYG!K90</f>
        <v>0</v>
      </c>
    </row>
    <row r="74" spans="2:11" x14ac:dyDescent="0.2">
      <c r="B74" s="20">
        <f>+PYG!B91</f>
        <v>4690</v>
      </c>
      <c r="C74" s="21" t="str">
        <f>+PYG!C91</f>
        <v xml:space="preserve">        Otras</v>
      </c>
      <c r="D74" s="22">
        <f>+PYG!D91</f>
        <v>0.25459999999999999</v>
      </c>
      <c r="E74" s="22">
        <f>+PYG!E91</f>
        <v>0.25459999999999999</v>
      </c>
      <c r="F74" s="22">
        <f>+PYG!F91</f>
        <v>6.0000000000000002E-5</v>
      </c>
      <c r="G74" s="22">
        <f>+PYG!G91</f>
        <v>15.26451</v>
      </c>
      <c r="H74" s="22">
        <f>+PYG!H91</f>
        <v>0.71718999999999999</v>
      </c>
      <c r="I74" s="22">
        <f>+PYG!I91</f>
        <v>15.98176</v>
      </c>
      <c r="J74" s="22">
        <f>+PYG!J91</f>
        <v>16.236360000000001</v>
      </c>
      <c r="K74" s="79">
        <f>+PYG!K91</f>
        <v>0</v>
      </c>
    </row>
    <row r="75" spans="2:11" s="36" customFormat="1" ht="15" x14ac:dyDescent="0.25">
      <c r="B75" s="23"/>
      <c r="C75" s="24" t="str">
        <f>+PYG!C92</f>
        <v>MARGEN OPERACIONAL</v>
      </c>
      <c r="D75" s="81">
        <f>+PYG!D92</f>
        <v>-11682.24604</v>
      </c>
      <c r="E75" s="81">
        <f>+PYG!E92</f>
        <v>-11682.24604</v>
      </c>
      <c r="F75" s="81">
        <f>+PYG!F92</f>
        <v>37119.71789</v>
      </c>
      <c r="G75" s="81">
        <f>+PYG!G92</f>
        <v>-24831.401559999998</v>
      </c>
      <c r="H75" s="81">
        <f>+PYG!H92</f>
        <v>45012.445269999997</v>
      </c>
      <c r="I75" s="81">
        <f>+PYG!I92</f>
        <v>57300.761599999998</v>
      </c>
      <c r="J75" s="81">
        <f>+PYG!J92</f>
        <v>45618.51556</v>
      </c>
      <c r="K75" s="82">
        <f>+PYG!K92</f>
        <v>3829.4724200000001</v>
      </c>
    </row>
    <row r="76" spans="2:11" x14ac:dyDescent="0.2">
      <c r="B76" s="20"/>
      <c r="C76" s="21"/>
      <c r="D76" s="22"/>
      <c r="E76" s="22"/>
      <c r="F76" s="22"/>
      <c r="G76" s="22"/>
      <c r="H76" s="22"/>
      <c r="I76" s="22"/>
      <c r="J76" s="22"/>
      <c r="K76" s="79"/>
    </row>
    <row r="77" spans="2:11" s="36" customFormat="1" ht="15" x14ac:dyDescent="0.25">
      <c r="B77" s="23">
        <f>+PYG!B94</f>
        <v>56</v>
      </c>
      <c r="C77" s="24" t="str">
        <f>+PYG!C94</f>
        <v>OTROS INGRESOS</v>
      </c>
      <c r="D77" s="81">
        <f>+PYG!D94</f>
        <v>6284.72847</v>
      </c>
      <c r="E77" s="81">
        <f>+PYG!E94</f>
        <v>6284.72847</v>
      </c>
      <c r="F77" s="81">
        <f>+PYG!F94</f>
        <v>1458.26991</v>
      </c>
      <c r="G77" s="81">
        <f>+PYG!G94</f>
        <v>20218.279500000001</v>
      </c>
      <c r="H77" s="81">
        <f>+PYG!H94</f>
        <v>28603.541290000001</v>
      </c>
      <c r="I77" s="81">
        <f>+PYG!I94</f>
        <v>50280.090700000001</v>
      </c>
      <c r="J77" s="81">
        <f>+PYG!J94</f>
        <v>56564.819170000002</v>
      </c>
      <c r="K77" s="82">
        <f>+PYG!K94</f>
        <v>769.12436000000002</v>
      </c>
    </row>
    <row r="78" spans="2:11" x14ac:dyDescent="0.2">
      <c r="B78" s="20">
        <f>+PYG!B95</f>
        <v>5602</v>
      </c>
      <c r="C78" s="21" t="str">
        <f>+PYG!C95</f>
        <v xml:space="preserve">        Utilidad en venta de acciones y participaciones</v>
      </c>
      <c r="D78" s="22">
        <f>+PYG!D95</f>
        <v>0</v>
      </c>
      <c r="E78" s="22">
        <f>+PYG!E95</f>
        <v>0</v>
      </c>
      <c r="F78" s="22">
        <f>+PYG!F95</f>
        <v>0</v>
      </c>
      <c r="G78" s="22">
        <f>+PYG!G95</f>
        <v>0</v>
      </c>
      <c r="H78" s="22">
        <f>+PYG!H95</f>
        <v>1.5815300000000001</v>
      </c>
      <c r="I78" s="22">
        <f>+PYG!I95</f>
        <v>1.5815300000000001</v>
      </c>
      <c r="J78" s="22">
        <f>+PYG!J95</f>
        <v>1.5815300000000001</v>
      </c>
      <c r="K78" s="79">
        <f>+PYG!K95</f>
        <v>0</v>
      </c>
    </row>
    <row r="79" spans="2:11" x14ac:dyDescent="0.2">
      <c r="B79" s="20">
        <f>+PYG!B96</f>
        <v>5604</v>
      </c>
      <c r="C79" s="21" t="str">
        <f>+PYG!C96</f>
        <v xml:space="preserve">        Recuperaciones de activos financieros</v>
      </c>
      <c r="D79" s="22">
        <f>+PYG!D96</f>
        <v>4450.9704599999995</v>
      </c>
      <c r="E79" s="22">
        <f>+PYG!E96</f>
        <v>4450.9704599999995</v>
      </c>
      <c r="F79" s="22">
        <f>+PYG!F96</f>
        <v>1239.7129399999999</v>
      </c>
      <c r="G79" s="22">
        <f>+PYG!G96</f>
        <v>18023.217509999999</v>
      </c>
      <c r="H79" s="22">
        <f>+PYG!H96</f>
        <v>27351.55313</v>
      </c>
      <c r="I79" s="22">
        <f>+PYG!I96</f>
        <v>46614.48358</v>
      </c>
      <c r="J79" s="22">
        <f>+PYG!J96</f>
        <v>51065.454039999997</v>
      </c>
      <c r="K79" s="79">
        <f>+PYG!K96</f>
        <v>254.04129</v>
      </c>
    </row>
    <row r="80" spans="2:11" s="36" customFormat="1" ht="15" x14ac:dyDescent="0.25">
      <c r="B80" s="23">
        <f>+PYG!B97</f>
        <v>47</v>
      </c>
      <c r="C80" s="24" t="str">
        <f>+PYG!C97</f>
        <v>OTROS GASTOS Y PERDIDAS</v>
      </c>
      <c r="D80" s="81">
        <f>+PYG!D97</f>
        <v>20.14143</v>
      </c>
      <c r="E80" s="81">
        <f>+PYG!E97</f>
        <v>20.14143</v>
      </c>
      <c r="F80" s="81">
        <f>+PYG!F97</f>
        <v>393.23259999999999</v>
      </c>
      <c r="G80" s="81">
        <f>+PYG!G97</f>
        <v>6403.1034900000004</v>
      </c>
      <c r="H80" s="81">
        <f>+PYG!H97</f>
        <v>6540.5052100000003</v>
      </c>
      <c r="I80" s="81">
        <f>+PYG!I97</f>
        <v>13336.8413</v>
      </c>
      <c r="J80" s="81">
        <f>+PYG!J97</f>
        <v>13356.98273</v>
      </c>
      <c r="K80" s="82">
        <f>+PYG!K97</f>
        <v>129.50719000000001</v>
      </c>
    </row>
    <row r="81" spans="2:11" x14ac:dyDescent="0.2">
      <c r="B81" s="20">
        <f>+PYG!B98</f>
        <v>4703</v>
      </c>
      <c r="C81" s="21" t="str">
        <f>+PYG!C98</f>
        <v xml:space="preserve">        Intereses y comisiones devengados en ejercicios anteriores</v>
      </c>
      <c r="D81" s="22">
        <f>+PYG!D98</f>
        <v>0.80359999999999998</v>
      </c>
      <c r="E81" s="22">
        <f>+PYG!E98</f>
        <v>0.80359999999999998</v>
      </c>
      <c r="F81" s="22">
        <f>+PYG!F98</f>
        <v>0</v>
      </c>
      <c r="G81" s="22">
        <f>+PYG!G98</f>
        <v>5634.5862200000001</v>
      </c>
      <c r="H81" s="22">
        <f>+PYG!H98</f>
        <v>5001.0145599999996</v>
      </c>
      <c r="I81" s="22">
        <f>+PYG!I98</f>
        <v>10635.600780000001</v>
      </c>
      <c r="J81" s="22">
        <f>+PYG!J98</f>
        <v>10636.40438</v>
      </c>
      <c r="K81" s="79">
        <f>+PYG!K98</f>
        <v>128.57345000000001</v>
      </c>
    </row>
    <row r="82" spans="2:11" x14ac:dyDescent="0.2">
      <c r="B82" s="20">
        <f>+PYG!B99</f>
        <v>4790</v>
      </c>
      <c r="C82" s="21" t="str">
        <f>+PYG!C99</f>
        <v xml:space="preserve">        Otros</v>
      </c>
      <c r="D82" s="22">
        <f>+PYG!D99</f>
        <v>19.33783</v>
      </c>
      <c r="E82" s="22">
        <f>+PYG!E99</f>
        <v>19.33783</v>
      </c>
      <c r="F82" s="22">
        <f>+PYG!F99</f>
        <v>393.23259999999999</v>
      </c>
      <c r="G82" s="22">
        <f>+PYG!G99</f>
        <v>767.06636000000003</v>
      </c>
      <c r="H82" s="22">
        <f>+PYG!H99</f>
        <v>1049.68723</v>
      </c>
      <c r="I82" s="22">
        <f>+PYG!I99</f>
        <v>2209.9861900000001</v>
      </c>
      <c r="J82" s="22">
        <f>+PYG!J99</f>
        <v>2229.32402</v>
      </c>
      <c r="K82" s="79">
        <f>+PYG!K99</f>
        <v>0.93374000000000001</v>
      </c>
    </row>
    <row r="83" spans="2:11" s="36" customFormat="1" ht="15" x14ac:dyDescent="0.25">
      <c r="B83" s="23"/>
      <c r="C83" s="24" t="str">
        <f>+PYG!C100</f>
        <v>GANANCIA O (PERDIDA) ANTES DE IMPUESTOS</v>
      </c>
      <c r="D83" s="81">
        <f>+PYG!D100</f>
        <v>-5417.6589999999997</v>
      </c>
      <c r="E83" s="81">
        <f>+PYG!E100</f>
        <v>-5417.6589999999997</v>
      </c>
      <c r="F83" s="81">
        <f>+PYG!F100</f>
        <v>38184.7552</v>
      </c>
      <c r="G83" s="81">
        <f>+PYG!G100</f>
        <v>-11016.225549999999</v>
      </c>
      <c r="H83" s="81">
        <f>+PYG!H100</f>
        <v>67075.481350000002</v>
      </c>
      <c r="I83" s="81">
        <f>+PYG!I100</f>
        <v>94244.010999999999</v>
      </c>
      <c r="J83" s="81">
        <f>+PYG!J100</f>
        <v>88826.351999999999</v>
      </c>
      <c r="K83" s="82">
        <f>+PYG!K100</f>
        <v>4469.0895899999996</v>
      </c>
    </row>
    <row r="84" spans="2:11" x14ac:dyDescent="0.2">
      <c r="B84" s="20"/>
      <c r="C84" s="21"/>
      <c r="D84" s="22"/>
      <c r="E84" s="22"/>
      <c r="F84" s="22"/>
      <c r="G84" s="22"/>
      <c r="H84" s="22"/>
      <c r="I84" s="22"/>
      <c r="J84" s="22"/>
      <c r="K84" s="79"/>
    </row>
    <row r="85" spans="2:11" s="36" customFormat="1" ht="15" x14ac:dyDescent="0.25">
      <c r="B85" s="23">
        <f>+PYG!B102</f>
        <v>48</v>
      </c>
      <c r="C85" s="24" t="str">
        <f>+PYG!C102</f>
        <v>IMPUESTOS Y PARTICIPACION A EMPLEADOS</v>
      </c>
      <c r="D85" s="81">
        <f>+PYG!D102</f>
        <v>0</v>
      </c>
      <c r="E85" s="81">
        <f>+PYG!E102</f>
        <v>0</v>
      </c>
      <c r="F85" s="81">
        <f>+PYG!F102</f>
        <v>1909.23776</v>
      </c>
      <c r="G85" s="81">
        <f>+PYG!G102</f>
        <v>0</v>
      </c>
      <c r="H85" s="81">
        <f>+PYG!H102</f>
        <v>0</v>
      </c>
      <c r="I85" s="81">
        <f>+PYG!I102</f>
        <v>1909.23776</v>
      </c>
      <c r="J85" s="81">
        <f>+PYG!J102</f>
        <v>1909.23776</v>
      </c>
      <c r="K85" s="82">
        <f>+PYG!K102</f>
        <v>0</v>
      </c>
    </row>
    <row r="86" spans="2:11" s="36" customFormat="1" ht="15" x14ac:dyDescent="0.25">
      <c r="B86" s="23"/>
      <c r="C86" s="24"/>
      <c r="D86" s="81"/>
      <c r="E86" s="81"/>
      <c r="F86" s="81"/>
      <c r="G86" s="81"/>
      <c r="H86" s="81"/>
      <c r="I86" s="81"/>
      <c r="J86" s="81"/>
      <c r="K86" s="82"/>
    </row>
    <row r="87" spans="2:11" s="36" customFormat="1" ht="15" x14ac:dyDescent="0.25">
      <c r="B87" s="23"/>
      <c r="C87" s="24" t="str">
        <f>+PYG!C104</f>
        <v>GANANCIA O (PERDIDA) DEL EJERCICIO</v>
      </c>
      <c r="D87" s="81">
        <f>+PYG!D104</f>
        <v>-5417.6589999999997</v>
      </c>
      <c r="E87" s="81">
        <f>+PYG!E104</f>
        <v>-5417.6589999999997</v>
      </c>
      <c r="F87" s="81">
        <f>+PYG!F104</f>
        <v>36275.517440000003</v>
      </c>
      <c r="G87" s="81">
        <f>+PYG!G104</f>
        <v>-11016.225549999999</v>
      </c>
      <c r="H87" s="81">
        <f>+PYG!H104</f>
        <v>67075.481350000002</v>
      </c>
      <c r="I87" s="81">
        <f>+PYG!I104</f>
        <v>92334.77324000001</v>
      </c>
      <c r="J87" s="81">
        <f>+PYG!J104</f>
        <v>86917.11424000001</v>
      </c>
      <c r="K87" s="82">
        <f>+PYG!K104</f>
        <v>4469.0895899999996</v>
      </c>
    </row>
    <row r="88" spans="2:11" x14ac:dyDescent="0.2">
      <c r="B88" s="25"/>
      <c r="C88" s="26"/>
      <c r="D88" s="27"/>
      <c r="E88" s="27"/>
      <c r="F88" s="27"/>
      <c r="G88" s="27"/>
      <c r="H88" s="27"/>
      <c r="I88" s="27"/>
      <c r="J88" s="27"/>
      <c r="K88" s="86"/>
    </row>
    <row r="90" spans="2:11" x14ac:dyDescent="0.2">
      <c r="D90" s="122">
        <f>+BALANCE!D843-BALANCE!D619-D87</f>
        <v>0</v>
      </c>
      <c r="E90" s="122">
        <f>+BALANCE!E843-BALANCE!E619-E87</f>
        <v>0</v>
      </c>
      <c r="F90" s="122">
        <f>+BALANCE!F843-BALANCE!F619-F87</f>
        <v>0</v>
      </c>
      <c r="G90" s="122">
        <f>+BALANCE!G843-BALANCE!G619-G87</f>
        <v>0</v>
      </c>
      <c r="H90" s="122">
        <f>+BALANCE!H843-BALANCE!H619-H87</f>
        <v>0</v>
      </c>
      <c r="I90" s="122">
        <f>+BALANCE!I843-BALANCE!I619-I87</f>
        <v>0</v>
      </c>
      <c r="J90" s="122">
        <f>+BALANCE!J843-BALANCE!J619-J87</f>
        <v>0</v>
      </c>
      <c r="K90" s="122">
        <f>+BALANCE!K843-BALANCE!K619-K87</f>
        <v>0</v>
      </c>
    </row>
  </sheetData>
  <mergeCells count="1">
    <mergeCell ref="B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>
      <selection activeCell="A2" sqref="A2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32"/>
      <c r="B2" s="133" t="s">
        <v>783</v>
      </c>
      <c r="H2" s="54"/>
      <c r="L2" s="116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32"/>
      <c r="B3" s="133" t="str">
        <f>BALANCE!B3</f>
        <v>SISTEMA DE BANCA PUBLICA</v>
      </c>
      <c r="H3" s="54"/>
      <c r="L3" s="116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32"/>
      <c r="B4" s="134" t="str">
        <f>PYG!B4</f>
        <v>DESDE EL 01-ENE-2012 AL 31-SEP-2012</v>
      </c>
      <c r="C4" s="134"/>
      <c r="H4" s="54"/>
      <c r="L4" s="116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32"/>
      <c r="B5" s="52" t="s">
        <v>2</v>
      </c>
      <c r="H5" s="54"/>
      <c r="L5" s="116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32"/>
      <c r="B6" s="135"/>
      <c r="H6" s="54"/>
      <c r="L6" s="116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19" customFormat="1" ht="45" x14ac:dyDescent="0.25">
      <c r="B7" s="16" t="s">
        <v>3</v>
      </c>
      <c r="C7" s="138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58" t="s">
        <v>12</v>
      </c>
      <c r="L7" s="137"/>
    </row>
    <row r="8" spans="1:24" x14ac:dyDescent="0.2">
      <c r="B8" s="139"/>
      <c r="C8" s="139"/>
      <c r="D8" s="74"/>
      <c r="E8" s="62"/>
      <c r="F8" s="62"/>
      <c r="G8" s="62"/>
      <c r="H8" s="62"/>
      <c r="I8" s="62"/>
      <c r="J8" s="62"/>
      <c r="K8" s="63"/>
    </row>
    <row r="9" spans="1:24" x14ac:dyDescent="0.2">
      <c r="B9" s="140"/>
      <c r="C9" s="140" t="str">
        <f>+PYG!C9</f>
        <v>TOTAL INGRESOS</v>
      </c>
      <c r="D9" s="20">
        <f>(EPyG!D9/EPyG!D$9)*100</f>
        <v>100</v>
      </c>
      <c r="E9" s="21">
        <f>(EPyG!E9/EPyG!E$9)*100</f>
        <v>100</v>
      </c>
      <c r="F9" s="21">
        <f>(EPyG!F9/EPyG!F$9)*100</f>
        <v>100</v>
      </c>
      <c r="G9" s="21">
        <f>(EPyG!G9/EPyG!G$9)*100</f>
        <v>100</v>
      </c>
      <c r="H9" s="21">
        <f>(EPyG!H9/EPyG!H$9)*100</f>
        <v>100</v>
      </c>
      <c r="I9" s="21">
        <f>(EPyG!I9/EPyG!I$9)*100</f>
        <v>100</v>
      </c>
      <c r="J9" s="21">
        <f>(EPyG!J9/EPyG!J$9)*100</f>
        <v>100</v>
      </c>
      <c r="K9" s="78">
        <f>(EPyG!K9/EPyG!K$9)*100</f>
        <v>100</v>
      </c>
    </row>
    <row r="10" spans="1:24" x14ac:dyDescent="0.2">
      <c r="B10" s="140"/>
      <c r="C10" s="140"/>
      <c r="D10" s="20"/>
      <c r="E10" s="21"/>
      <c r="F10" s="21"/>
      <c r="G10" s="21"/>
      <c r="H10" s="21"/>
      <c r="I10" s="21"/>
      <c r="J10" s="21"/>
      <c r="K10" s="78"/>
    </row>
    <row r="11" spans="1:24" x14ac:dyDescent="0.2">
      <c r="B11" s="140">
        <f>+PYG!B11</f>
        <v>51</v>
      </c>
      <c r="C11" s="140" t="str">
        <f>+PYG!C11</f>
        <v>INTERESES Y DESCUENTOS GANADOS</v>
      </c>
      <c r="D11" s="141">
        <f>(EPyG!D11/EPyG!D$9)*100</f>
        <v>56.950696278236215</v>
      </c>
      <c r="E11" s="104">
        <f>(EPyG!E11/EPyG!E$9)*100</f>
        <v>56.950696278236215</v>
      </c>
      <c r="F11" s="104">
        <f>(EPyG!F11/EPyG!F$9)*100</f>
        <v>95.794874628388513</v>
      </c>
      <c r="G11" s="104">
        <f>(EPyG!G11/EPyG!G$9)*100</f>
        <v>74.718991640986587</v>
      </c>
      <c r="H11" s="104">
        <f>(EPyG!H11/EPyG!H$9)*100</f>
        <v>54.704298063697507</v>
      </c>
      <c r="I11" s="104">
        <f>(EPyG!I11/EPyG!I$9)*100</f>
        <v>68.084886493145376</v>
      </c>
      <c r="J11" s="104">
        <f>(EPyG!J11/EPyG!J$9)*100</f>
        <v>67.513440852332877</v>
      </c>
      <c r="K11" s="105">
        <f>(EPyG!K11/EPyG!K$9)*100</f>
        <v>94.188340573833941</v>
      </c>
    </row>
    <row r="12" spans="1:24" x14ac:dyDescent="0.2">
      <c r="B12" s="140">
        <f>+PYG!B12</f>
        <v>5101</v>
      </c>
      <c r="C12" s="140" t="str">
        <f>+PYG!C12</f>
        <v xml:space="preserve">        Depósitos</v>
      </c>
      <c r="D12" s="141">
        <f>(EPyG!D12/EPyG!D$9)*100</f>
        <v>4.1030592247738308E-4</v>
      </c>
      <c r="E12" s="104">
        <f>(EPyG!E12/EPyG!E$9)*100</f>
        <v>4.1030592247738308E-4</v>
      </c>
      <c r="F12" s="104">
        <f>(EPyG!F12/EPyG!F$9)*100</f>
        <v>1.657634537772968E-5</v>
      </c>
      <c r="G12" s="104">
        <f>(EPyG!G12/EPyG!G$9)*100</f>
        <v>0</v>
      </c>
      <c r="H12" s="104">
        <f>(EPyG!H12/EPyG!H$9)*100</f>
        <v>0.28191787875197233</v>
      </c>
      <c r="I12" s="104">
        <f>(EPyG!I12/EPyG!I$9)*100</f>
        <v>0.14774373350027867</v>
      </c>
      <c r="J12" s="104">
        <f>(EPyG!J12/EPyG!J$9)*100</f>
        <v>0.14018206594204349</v>
      </c>
      <c r="K12" s="105">
        <f>(EPyG!K12/EPyG!K$9)*100</f>
        <v>8.5800107594430024</v>
      </c>
    </row>
    <row r="13" spans="1:24" x14ac:dyDescent="0.2">
      <c r="B13" s="140">
        <f>+PYG!B13</f>
        <v>5102</v>
      </c>
      <c r="C13" s="140" t="str">
        <f>+PYG!C13</f>
        <v xml:space="preserve">        Operaciones interbancarias</v>
      </c>
      <c r="D13" s="141">
        <f>(EPyG!D13/EPyG!D$9)*100</f>
        <v>0</v>
      </c>
      <c r="E13" s="104">
        <f>(EPyG!E13/EPyG!E$9)*100</f>
        <v>0</v>
      </c>
      <c r="F13" s="104">
        <f>(EPyG!F13/EPyG!F$9)*100</f>
        <v>0</v>
      </c>
      <c r="G13" s="104">
        <f>(EPyG!G13/EPyG!G$9)*100</f>
        <v>0</v>
      </c>
      <c r="H13" s="104">
        <f>(EPyG!H13/EPyG!H$9)*100</f>
        <v>0</v>
      </c>
      <c r="I13" s="104">
        <f>(EPyG!I13/EPyG!I$9)*100</f>
        <v>0</v>
      </c>
      <c r="J13" s="104">
        <f>(EPyG!J13/EPyG!J$9)*100</f>
        <v>0</v>
      </c>
      <c r="K13" s="105">
        <f>(EPyG!K13/EPyG!K$9)*100</f>
        <v>0</v>
      </c>
    </row>
    <row r="14" spans="1:24" x14ac:dyDescent="0.2">
      <c r="B14" s="140">
        <f>+PYG!B14</f>
        <v>5103</v>
      </c>
      <c r="C14" s="140" t="str">
        <f>+PYG!C14</f>
        <v xml:space="preserve">        Intereses y descuentos de inversiones en títulos valores</v>
      </c>
      <c r="D14" s="141">
        <f>(EPyG!D14/EPyG!D$9)*100</f>
        <v>7.7787089212361149</v>
      </c>
      <c r="E14" s="104">
        <f>(EPyG!E14/EPyG!E$9)*100</f>
        <v>7.7787089212361149</v>
      </c>
      <c r="F14" s="104">
        <f>(EPyG!F14/EPyG!F$9)*100</f>
        <v>5.1729029956157895</v>
      </c>
      <c r="G14" s="104">
        <f>(EPyG!G14/EPyG!G$9)*100</f>
        <v>4.264247315296366</v>
      </c>
      <c r="H14" s="104">
        <f>(EPyG!H14/EPyG!H$9)*100</f>
        <v>9.2158384167278697</v>
      </c>
      <c r="I14" s="104">
        <f>(EPyG!I14/EPyG!I$9)*100</f>
        <v>7.0253475946397179</v>
      </c>
      <c r="J14" s="104">
        <f>(EPyG!J14/EPyG!J$9)*100</f>
        <v>7.0640127366689747</v>
      </c>
      <c r="K14" s="105">
        <f>(EPyG!K14/EPyG!K$9)*100</f>
        <v>0</v>
      </c>
    </row>
    <row r="15" spans="1:24" x14ac:dyDescent="0.2">
      <c r="B15" s="140">
        <f>+PYG!B15</f>
        <v>5104</v>
      </c>
      <c r="C15" s="140" t="str">
        <f>+PYG!C15</f>
        <v xml:space="preserve">        Intereses y descuentos de cartera de créditos</v>
      </c>
      <c r="D15" s="141">
        <f>(EPyG!D15/EPyG!D$9)*100</f>
        <v>47.460984648270873</v>
      </c>
      <c r="E15" s="104">
        <f>(EPyG!E15/EPyG!E$9)*100</f>
        <v>47.460984648270873</v>
      </c>
      <c r="F15" s="104">
        <f>(EPyG!F15/EPyG!F$9)*100</f>
        <v>90.618495455596374</v>
      </c>
      <c r="G15" s="104">
        <f>(EPyG!G15/EPyG!G$9)*100</f>
        <v>70.454722688116831</v>
      </c>
      <c r="H15" s="104">
        <f>(EPyG!H15/EPyG!H$9)*100</f>
        <v>43.067697982724738</v>
      </c>
      <c r="I15" s="104">
        <f>(EPyG!I15/EPyG!I$9)*100</f>
        <v>59.79028256609714</v>
      </c>
      <c r="J15" s="104">
        <f>(EPyG!J15/EPyG!J$9)*100</f>
        <v>59.157499811947112</v>
      </c>
      <c r="K15" s="105">
        <f>(EPyG!K15/EPyG!K$9)*100</f>
        <v>85.608329814390927</v>
      </c>
    </row>
    <row r="16" spans="1:24" x14ac:dyDescent="0.2">
      <c r="B16" s="140">
        <f>+PYG!B25</f>
        <v>5190</v>
      </c>
      <c r="C16" s="140" t="str">
        <f>+PYG!C25</f>
        <v xml:space="preserve">        Otros intereses y descuentos</v>
      </c>
      <c r="D16" s="141">
        <f>(EPyG!D16/EPyG!D$9)*100</f>
        <v>1.7105924028067561</v>
      </c>
      <c r="E16" s="104">
        <f>(EPyG!E16/EPyG!E$9)*100</f>
        <v>1.7105924028067561</v>
      </c>
      <c r="F16" s="104">
        <f>(EPyG!F16/EPyG!F$9)*100</f>
        <v>3.4596008309828587E-3</v>
      </c>
      <c r="G16" s="104">
        <f>(EPyG!G16/EPyG!G$9)*100</f>
        <v>2.1637573380399739E-5</v>
      </c>
      <c r="H16" s="104">
        <f>(EPyG!H16/EPyG!H$9)*100</f>
        <v>2.1388437854929259</v>
      </c>
      <c r="I16" s="104">
        <f>(EPyG!I16/EPyG!I$9)*100</f>
        <v>1.1215125989082291</v>
      </c>
      <c r="J16" s="104">
        <f>(EPyG!J16/EPyG!J$9)*100</f>
        <v>1.1517462377747301</v>
      </c>
      <c r="K16" s="105">
        <f>(EPyG!K16/EPyG!K$9)*100</f>
        <v>0</v>
      </c>
    </row>
    <row r="17" spans="2:11" x14ac:dyDescent="0.2">
      <c r="B17" s="140">
        <f>+PYG!B26</f>
        <v>41</v>
      </c>
      <c r="C17" s="140" t="str">
        <f>+PYG!C26</f>
        <v>INTERESES CAUSADOS</v>
      </c>
      <c r="D17" s="141">
        <f>(EPyG!D17/EPyG!D$9)*100</f>
        <v>8.0456234636706263</v>
      </c>
      <c r="E17" s="104">
        <f>(EPyG!E17/EPyG!E$9)*100</f>
        <v>8.0456234636706263</v>
      </c>
      <c r="F17" s="104">
        <f>(EPyG!F17/EPyG!F$9)*100</f>
        <v>16.085326292502298</v>
      </c>
      <c r="G17" s="104">
        <f>(EPyG!G17/EPyG!G$9)*100</f>
        <v>12.35449255695764</v>
      </c>
      <c r="H17" s="104">
        <f>(EPyG!H17/EPyG!H$9)*100</f>
        <v>18.060843185456054</v>
      </c>
      <c r="I17" s="104">
        <f>(EPyG!I17/EPyG!I$9)*100</f>
        <v>16.027296246762113</v>
      </c>
      <c r="J17" s="104">
        <f>(EPyG!J17/EPyG!J$9)*100</f>
        <v>15.617648842662454</v>
      </c>
      <c r="K17" s="105">
        <f>(EPyG!K17/EPyG!K$9)*100</f>
        <v>0</v>
      </c>
    </row>
    <row r="18" spans="2:11" x14ac:dyDescent="0.2">
      <c r="B18" s="140">
        <f>+PYG!B27</f>
        <v>4101</v>
      </c>
      <c r="C18" s="140" t="str">
        <f>+PYG!C27</f>
        <v xml:space="preserve">        Obligaciones con el público</v>
      </c>
      <c r="D18" s="141">
        <f>(EPyG!D18/EPyG!D$9)*100</f>
        <v>7.95595249810928</v>
      </c>
      <c r="E18" s="104">
        <f>(EPyG!E18/EPyG!E$9)*100</f>
        <v>7.95595249810928</v>
      </c>
      <c r="F18" s="104">
        <f>(EPyG!F18/EPyG!F$9)*100</f>
        <v>15.394378542768022</v>
      </c>
      <c r="G18" s="104">
        <f>(EPyG!G18/EPyG!G$9)*100</f>
        <v>12.342391975306187</v>
      </c>
      <c r="H18" s="104">
        <f>(EPyG!H18/EPyG!H$9)*100</f>
        <v>3.0270851711074485E-4</v>
      </c>
      <c r="I18" s="104">
        <f>(EPyG!I18/EPyG!I$9)*100</f>
        <v>6.4326469471557752</v>
      </c>
      <c r="J18" s="104">
        <f>(EPyG!J18/EPyG!J$9)*100</f>
        <v>6.5108283236111761</v>
      </c>
      <c r="K18" s="105">
        <f>(EPyG!K18/EPyG!K$9)*100</f>
        <v>0</v>
      </c>
    </row>
    <row r="19" spans="2:11" x14ac:dyDescent="0.2">
      <c r="B19" s="140">
        <f>+PYG!B28</f>
        <v>4102</v>
      </c>
      <c r="C19" s="140" t="str">
        <f>+PYG!C28</f>
        <v xml:space="preserve">        Operaciones interbancarias</v>
      </c>
      <c r="D19" s="141">
        <f>(EPyG!D19/EPyG!D$9)*100</f>
        <v>0</v>
      </c>
      <c r="E19" s="104">
        <f>(EPyG!E19/EPyG!E$9)*100</f>
        <v>0</v>
      </c>
      <c r="F19" s="104">
        <f>(EPyG!F19/EPyG!F$9)*100</f>
        <v>0</v>
      </c>
      <c r="G19" s="104">
        <f>(EPyG!G19/EPyG!G$9)*100</f>
        <v>0</v>
      </c>
      <c r="H19" s="104">
        <f>(EPyG!H19/EPyG!H$9)*100</f>
        <v>0</v>
      </c>
      <c r="I19" s="104">
        <f>(EPyG!I19/EPyG!I$9)*100</f>
        <v>0</v>
      </c>
      <c r="J19" s="104">
        <f>(EPyG!J19/EPyG!J$9)*100</f>
        <v>0</v>
      </c>
      <c r="K19" s="105">
        <f>(EPyG!K19/EPyG!K$9)*100</f>
        <v>0</v>
      </c>
    </row>
    <row r="20" spans="2:11" x14ac:dyDescent="0.2">
      <c r="B20" s="140">
        <f>+PYG!B29</f>
        <v>4103</v>
      </c>
      <c r="C20" s="140" t="str">
        <f>+PYG!C29</f>
        <v xml:space="preserve">        Obligaciones financieras</v>
      </c>
      <c r="D20" s="141">
        <f>(EPyG!D20/EPyG!D$9)*100</f>
        <v>8.9670965561345045E-2</v>
      </c>
      <c r="E20" s="104">
        <f>(EPyG!E20/EPyG!E$9)*100</f>
        <v>8.9670965561345045E-2</v>
      </c>
      <c r="F20" s="104">
        <f>(EPyG!F20/EPyG!F$9)*100</f>
        <v>0.58550323170086993</v>
      </c>
      <c r="G20" s="104">
        <f>(EPyG!G20/EPyG!G$9)*100</f>
        <v>1.2100581651454882E-2</v>
      </c>
      <c r="H20" s="104">
        <f>(EPyG!H20/EPyG!H$9)*100</f>
        <v>0.93087767096021268</v>
      </c>
      <c r="I20" s="104">
        <f>(EPyG!I20/EPyG!I$9)*100</f>
        <v>0.59846455351184957</v>
      </c>
      <c r="J20" s="104">
        <f>(EPyG!J20/EPyG!J$9)*100</f>
        <v>0.57235148446095963</v>
      </c>
      <c r="K20" s="105">
        <f>(EPyG!K20/EPyG!K$9)*100</f>
        <v>0</v>
      </c>
    </row>
    <row r="21" spans="2:11" x14ac:dyDescent="0.2">
      <c r="B21" s="140">
        <f>+PYG!B30</f>
        <v>4104</v>
      </c>
      <c r="C21" s="140" t="str">
        <f>+PYG!C30</f>
        <v xml:space="preserve">        Valores en circulación y obligaciones convertibles en acciones</v>
      </c>
      <c r="D21" s="141">
        <f>(EPyG!D21/EPyG!D$9)*100</f>
        <v>0</v>
      </c>
      <c r="E21" s="104">
        <f>(EPyG!E21/EPyG!E$9)*100</f>
        <v>0</v>
      </c>
      <c r="F21" s="104">
        <f>(EPyG!F21/EPyG!F$9)*100</f>
        <v>0</v>
      </c>
      <c r="G21" s="104">
        <f>(EPyG!G21/EPyG!G$9)*100</f>
        <v>0</v>
      </c>
      <c r="H21" s="104">
        <f>(EPyG!H21/EPyG!H$9)*100</f>
        <v>17.129662805978732</v>
      </c>
      <c r="I21" s="104">
        <f>(EPyG!I21/EPyG!I$9)*100</f>
        <v>8.9768992826136476</v>
      </c>
      <c r="J21" s="104">
        <f>(EPyG!J21/EPyG!J$9)*100</f>
        <v>8.5161733686452177</v>
      </c>
      <c r="K21" s="105">
        <f>(EPyG!K21/EPyG!K$9)*100</f>
        <v>0</v>
      </c>
    </row>
    <row r="22" spans="2:11" x14ac:dyDescent="0.2">
      <c r="B22" s="140">
        <f>+PYG!B31</f>
        <v>4105</v>
      </c>
      <c r="C22" s="140" t="str">
        <f>+PYG!C31</f>
        <v xml:space="preserve">        Otros intereses</v>
      </c>
      <c r="D22" s="141">
        <f>(EPyG!D22/EPyG!D$9)*100</f>
        <v>0</v>
      </c>
      <c r="E22" s="104">
        <f>(EPyG!E22/EPyG!E$9)*100</f>
        <v>0</v>
      </c>
      <c r="F22" s="104">
        <f>(EPyG!F22/EPyG!F$9)*100</f>
        <v>0.10544451803340435</v>
      </c>
      <c r="G22" s="104">
        <f>(EPyG!G22/EPyG!G$9)*100</f>
        <v>0</v>
      </c>
      <c r="H22" s="104">
        <f>(EPyG!H22/EPyG!H$9)*100</f>
        <v>0</v>
      </c>
      <c r="I22" s="104">
        <f>(EPyG!I22/EPyG!I$9)*100</f>
        <v>1.9285463480839787E-2</v>
      </c>
      <c r="J22" s="104">
        <f>(EPyG!J22/EPyG!J$9)*100</f>
        <v>1.8295665945100056E-2</v>
      </c>
      <c r="K22" s="105">
        <f>(EPyG!K22/EPyG!K$9)*100</f>
        <v>0</v>
      </c>
    </row>
    <row r="23" spans="2:11" x14ac:dyDescent="0.2">
      <c r="B23" s="140"/>
      <c r="C23" s="140" t="str">
        <f>+PYG!C32</f>
        <v>MARGEN NETO INTERESES</v>
      </c>
      <c r="D23" s="141">
        <f>(EPyG!D23/EPyG!D$9)*100</f>
        <v>48.9050728145656</v>
      </c>
      <c r="E23" s="104">
        <f>(EPyG!E23/EPyG!E$9)*100</f>
        <v>48.9050728145656</v>
      </c>
      <c r="F23" s="104">
        <f>(EPyG!F23/EPyG!F$9)*100</f>
        <v>79.709548335886211</v>
      </c>
      <c r="G23" s="104">
        <f>(EPyG!G23/EPyG!G$9)*100</f>
        <v>62.364499084028949</v>
      </c>
      <c r="H23" s="104">
        <f>(EPyG!H23/EPyG!H$9)*100</f>
        <v>36.64345487824145</v>
      </c>
      <c r="I23" s="104">
        <f>(EPyG!I23/EPyG!I$9)*100</f>
        <v>52.057590246383242</v>
      </c>
      <c r="J23" s="104">
        <f>(EPyG!J23/EPyG!J$9)*100</f>
        <v>51.895792009670402</v>
      </c>
      <c r="K23" s="105">
        <f>(EPyG!K23/EPyG!K$9)*100</f>
        <v>94.188340573833941</v>
      </c>
    </row>
    <row r="24" spans="2:11" x14ac:dyDescent="0.2">
      <c r="B24" s="140"/>
      <c r="C24" s="140"/>
      <c r="D24" s="141"/>
      <c r="E24" s="104"/>
      <c r="F24" s="104"/>
      <c r="G24" s="104"/>
      <c r="H24" s="104"/>
      <c r="I24" s="104"/>
      <c r="J24" s="104"/>
      <c r="K24" s="105"/>
    </row>
    <row r="25" spans="2:11" x14ac:dyDescent="0.2">
      <c r="B25" s="140">
        <f>+PYG!B34</f>
        <v>52</v>
      </c>
      <c r="C25" s="140" t="str">
        <f>+PYG!C34</f>
        <v>COMISIONES GANADAS</v>
      </c>
      <c r="D25" s="141">
        <f>(EPyG!D25/EPyG!D$9)*100</f>
        <v>0.86791100630645102</v>
      </c>
      <c r="E25" s="104">
        <f>(EPyG!E25/EPyG!E$9)*100</f>
        <v>0.86791100630645102</v>
      </c>
      <c r="F25" s="104">
        <f>(EPyG!F25/EPyG!F$9)*100</f>
        <v>1.7206860491279106</v>
      </c>
      <c r="G25" s="104">
        <f>(EPyG!G25/EPyG!G$9)*100</f>
        <v>2.2776312402449159</v>
      </c>
      <c r="H25" s="104">
        <f>(EPyG!H25/EPyG!H$9)*100</f>
        <v>1.3740494446284633E-2</v>
      </c>
      <c r="I25" s="104">
        <f>(EPyG!I25/EPyG!I$9)*100</f>
        <v>0.98936266062559597</v>
      </c>
      <c r="J25" s="104">
        <f>(EPyG!J25/EPyG!J$9)*100</f>
        <v>0.98312933632535104</v>
      </c>
      <c r="K25" s="105">
        <f>(EPyG!K25/EPyG!K$9)*100</f>
        <v>0</v>
      </c>
    </row>
    <row r="26" spans="2:11" x14ac:dyDescent="0.2">
      <c r="B26" s="140">
        <f>+PYG!B35</f>
        <v>5201</v>
      </c>
      <c r="C26" s="140" t="str">
        <f>+PYG!C35</f>
        <v xml:space="preserve">        Cartera de créditos</v>
      </c>
      <c r="D26" s="141">
        <f>(EPyG!D26/EPyG!D$9)*100</f>
        <v>0</v>
      </c>
      <c r="E26" s="104">
        <f>(EPyG!E26/EPyG!E$9)*100</f>
        <v>0</v>
      </c>
      <c r="F26" s="104">
        <f>(EPyG!F26/EPyG!F$9)*100</f>
        <v>0</v>
      </c>
      <c r="G26" s="104">
        <f>(EPyG!G26/EPyG!G$9)*100</f>
        <v>1.0814544237237326E-2</v>
      </c>
      <c r="H26" s="104">
        <f>(EPyG!H26/EPyG!H$9)*100</f>
        <v>0</v>
      </c>
      <c r="I26" s="104">
        <f>(EPyG!I26/EPyG!I$9)*100</f>
        <v>3.1691741325563958E-3</v>
      </c>
      <c r="J26" s="104">
        <f>(EPyG!J26/EPyG!J$9)*100</f>
        <v>3.0065210156193368E-3</v>
      </c>
      <c r="K26" s="105">
        <f>(EPyG!K26/EPyG!K$9)*100</f>
        <v>0</v>
      </c>
    </row>
    <row r="27" spans="2:11" x14ac:dyDescent="0.2">
      <c r="B27" s="140">
        <f>+PYG!B41</f>
        <v>5290</v>
      </c>
      <c r="C27" s="140" t="str">
        <f>+PYG!C41</f>
        <v xml:space="preserve">        Otras</v>
      </c>
      <c r="D27" s="141">
        <f>(EPyG!D27/EPyG!D$9)*100</f>
        <v>0.86791100630645102</v>
      </c>
      <c r="E27" s="104">
        <f>(EPyG!E27/EPyG!E$9)*100</f>
        <v>0.86791100630645102</v>
      </c>
      <c r="F27" s="104">
        <f>(EPyG!F27/EPyG!F$9)*100</f>
        <v>1.7206860491279106</v>
      </c>
      <c r="G27" s="104">
        <f>(EPyG!G27/EPyG!G$9)*100</f>
        <v>2.2657761041678657</v>
      </c>
      <c r="H27" s="104">
        <f>(EPyG!H27/EPyG!H$9)*100</f>
        <v>1.3740494446284633E-2</v>
      </c>
      <c r="I27" s="104">
        <f>(EPyG!I27/EPyG!I$9)*100</f>
        <v>0.98588854375398904</v>
      </c>
      <c r="J27" s="104">
        <f>(EPyG!J27/EPyG!J$9)*100</f>
        <v>0.97983352330015194</v>
      </c>
      <c r="K27" s="105">
        <f>(EPyG!K27/EPyG!K$9)*100</f>
        <v>0</v>
      </c>
    </row>
    <row r="28" spans="2:11" x14ac:dyDescent="0.2">
      <c r="B28" s="140">
        <f>+PYG!B42</f>
        <v>54</v>
      </c>
      <c r="C28" s="140" t="str">
        <f>+PYG!C42</f>
        <v>INGRESOS POR SERVICIOS</v>
      </c>
      <c r="D28" s="141">
        <f>(EPyG!D28/EPyG!D$9)*100</f>
        <v>0</v>
      </c>
      <c r="E28" s="104">
        <f>(EPyG!E28/EPyG!E$9)*100</f>
        <v>0</v>
      </c>
      <c r="F28" s="104">
        <f>(EPyG!F28/EPyG!F$9)*100</f>
        <v>0</v>
      </c>
      <c r="G28" s="104">
        <f>(EPyG!G28/EPyG!G$9)*100</f>
        <v>0.74650602118999076</v>
      </c>
      <c r="H28" s="104">
        <f>(EPyG!H28/EPyG!H$9)*100</f>
        <v>1.0429804060432304</v>
      </c>
      <c r="I28" s="104">
        <f>(EPyG!I28/EPyG!I$9)*100</f>
        <v>0.76534159227031839</v>
      </c>
      <c r="J28" s="104">
        <f>(EPyG!J28/EPyG!J$9)*100</f>
        <v>0.72606158104420004</v>
      </c>
      <c r="K28" s="105">
        <f>(EPyG!K28/EPyG!K$9)*100</f>
        <v>0</v>
      </c>
    </row>
    <row r="29" spans="2:11" x14ac:dyDescent="0.2">
      <c r="B29" s="140">
        <f>+PYG!B43</f>
        <v>5404</v>
      </c>
      <c r="C29" s="140" t="str">
        <f>+PYG!C43</f>
        <v xml:space="preserve">        Manejo y cobranzas</v>
      </c>
      <c r="D29" s="141">
        <f>(EPyG!D29/EPyG!D$9)*100</f>
        <v>0</v>
      </c>
      <c r="E29" s="104">
        <f>(EPyG!E29/EPyG!E$9)*100</f>
        <v>0</v>
      </c>
      <c r="F29" s="104">
        <f>(EPyG!F29/EPyG!F$9)*100</f>
        <v>0</v>
      </c>
      <c r="G29" s="104">
        <f>(EPyG!G29/EPyG!G$9)*100</f>
        <v>0</v>
      </c>
      <c r="H29" s="104">
        <f>(EPyG!H29/EPyG!H$9)*100</f>
        <v>0</v>
      </c>
      <c r="I29" s="104">
        <f>(EPyG!I29/EPyG!I$9)*100</f>
        <v>0</v>
      </c>
      <c r="J29" s="104">
        <f>(EPyG!J29/EPyG!J$9)*100</f>
        <v>0</v>
      </c>
      <c r="K29" s="105">
        <f>(EPyG!K29/EPyG!K$9)*100</f>
        <v>0</v>
      </c>
    </row>
    <row r="30" spans="2:11" x14ac:dyDescent="0.2">
      <c r="B30" s="140">
        <f>+PYG!B44</f>
        <v>5490</v>
      </c>
      <c r="C30" s="140" t="str">
        <f>+PYG!C44</f>
        <v xml:space="preserve">        Otros servicios</v>
      </c>
      <c r="D30" s="141">
        <f>(EPyG!D30/EPyG!D$9)*100</f>
        <v>0</v>
      </c>
      <c r="E30" s="104">
        <f>(EPyG!E30/EPyG!E$9)*100</f>
        <v>0</v>
      </c>
      <c r="F30" s="104">
        <f>(EPyG!F30/EPyG!F$9)*100</f>
        <v>0</v>
      </c>
      <c r="G30" s="104">
        <f>(EPyG!G30/EPyG!G$9)*100</f>
        <v>0.74650602118999076</v>
      </c>
      <c r="H30" s="104">
        <f>(EPyG!H30/EPyG!H$9)*100</f>
        <v>0</v>
      </c>
      <c r="I30" s="104">
        <f>(EPyG!I30/EPyG!I$9)*100</f>
        <v>0.21876165284957796</v>
      </c>
      <c r="J30" s="104">
        <f>(EPyG!J30/EPyG!J$9)*100</f>
        <v>0.20753403858352798</v>
      </c>
      <c r="K30" s="105">
        <f>(EPyG!K30/EPyG!K$9)*100</f>
        <v>0</v>
      </c>
    </row>
    <row r="31" spans="2:11" x14ac:dyDescent="0.2">
      <c r="B31" s="140">
        <f>+PYG!B48</f>
        <v>42</v>
      </c>
      <c r="C31" s="140" t="str">
        <f>+PYG!C48</f>
        <v>COMISIONES CAUSADAS</v>
      </c>
      <c r="D31" s="141">
        <f>(EPyG!D31/EPyG!D$9)*100</f>
        <v>0.10648757611031598</v>
      </c>
      <c r="E31" s="104">
        <f>(EPyG!E31/EPyG!E$9)*100</f>
        <v>0.10648757611031598</v>
      </c>
      <c r="F31" s="104">
        <f>(EPyG!F31/EPyG!F$9)*100</f>
        <v>0.11583185572577148</v>
      </c>
      <c r="G31" s="104">
        <f>(EPyG!G31/EPyG!G$9)*100</f>
        <v>0.42555098292456472</v>
      </c>
      <c r="H31" s="104">
        <f>(EPyG!H31/EPyG!H$9)*100</f>
        <v>0.31645242440054028</v>
      </c>
      <c r="I31" s="104">
        <f>(EPyG!I31/EPyG!I$9)*100</f>
        <v>0.31173061666618668</v>
      </c>
      <c r="J31" s="104">
        <f>(EPyG!J31/EPyG!J$9)*100</f>
        <v>0.30119682493378885</v>
      </c>
      <c r="K31" s="105">
        <f>(EPyG!K31/EPyG!K$9)*100</f>
        <v>0</v>
      </c>
    </row>
    <row r="32" spans="2:11" x14ac:dyDescent="0.2">
      <c r="B32" s="140">
        <f>+PYG!B49</f>
        <v>4201</v>
      </c>
      <c r="C32" s="140" t="str">
        <f>+PYG!C49</f>
        <v xml:space="preserve">        Obligaciones financieras</v>
      </c>
      <c r="D32" s="141">
        <f>(EPyG!D32/EPyG!D$9)*100</f>
        <v>0</v>
      </c>
      <c r="E32" s="104">
        <f>(EPyG!E32/EPyG!E$9)*100</f>
        <v>0</v>
      </c>
      <c r="F32" s="104">
        <f>(EPyG!F32/EPyG!F$9)*100</f>
        <v>1.0215049325661075E-2</v>
      </c>
      <c r="G32" s="104">
        <f>(EPyG!G32/EPyG!G$9)*100</f>
        <v>0.41189516480098326</v>
      </c>
      <c r="H32" s="104">
        <f>(EPyG!H32/EPyG!H$9)*100</f>
        <v>0</v>
      </c>
      <c r="I32" s="104">
        <f>(EPyG!I32/EPyG!I$9)*100</f>
        <v>0.12257310915905338</v>
      </c>
      <c r="J32" s="104">
        <f>(EPyG!J32/EPyG!J$9)*100</f>
        <v>0.11628222786837959</v>
      </c>
      <c r="K32" s="105">
        <f>(EPyG!K32/EPyG!K$9)*100</f>
        <v>0</v>
      </c>
    </row>
    <row r="33" spans="2:11" x14ac:dyDescent="0.2">
      <c r="B33" s="140">
        <f>+PYG!B50</f>
        <v>4202</v>
      </c>
      <c r="C33" s="140" t="str">
        <f>+PYG!C50</f>
        <v xml:space="preserve">        Operaciones contingentes</v>
      </c>
      <c r="D33" s="141">
        <f>(EPyG!D33/EPyG!D$9)*100</f>
        <v>0</v>
      </c>
      <c r="E33" s="104">
        <f>(EPyG!E33/EPyG!E$9)*100</f>
        <v>0</v>
      </c>
      <c r="F33" s="104">
        <f>(EPyG!F33/EPyG!F$9)*100</f>
        <v>0</v>
      </c>
      <c r="G33" s="104">
        <f>(EPyG!G33/EPyG!G$9)*100</f>
        <v>0</v>
      </c>
      <c r="H33" s="104">
        <f>(EPyG!H33/EPyG!H$9)*100</f>
        <v>0</v>
      </c>
      <c r="I33" s="104">
        <f>(EPyG!I33/EPyG!I$9)*100</f>
        <v>0</v>
      </c>
      <c r="J33" s="104">
        <f>(EPyG!J33/EPyG!J$9)*100</f>
        <v>0</v>
      </c>
      <c r="K33" s="105">
        <f>(EPyG!K33/EPyG!K$9)*100</f>
        <v>0</v>
      </c>
    </row>
    <row r="34" spans="2:11" x14ac:dyDescent="0.2">
      <c r="B34" s="140">
        <f>+PYG!B51</f>
        <v>4203</v>
      </c>
      <c r="C34" s="140" t="str">
        <f>+PYG!C51</f>
        <v xml:space="preserve">        Cobranzas</v>
      </c>
      <c r="D34" s="141">
        <f>(EPyG!D34/EPyG!D$9)*100</f>
        <v>0</v>
      </c>
      <c r="E34" s="104">
        <f>(EPyG!E34/EPyG!E$9)*100</f>
        <v>0</v>
      </c>
      <c r="F34" s="104">
        <f>(EPyG!F34/EPyG!F$9)*100</f>
        <v>0</v>
      </c>
      <c r="G34" s="104">
        <f>(EPyG!G34/EPyG!G$9)*100</f>
        <v>0</v>
      </c>
      <c r="H34" s="104">
        <f>(EPyG!H34/EPyG!H$9)*100</f>
        <v>0</v>
      </c>
      <c r="I34" s="104">
        <f>(EPyG!I34/EPyG!I$9)*100</f>
        <v>0</v>
      </c>
      <c r="J34" s="104">
        <f>(EPyG!J34/EPyG!J$9)*100</f>
        <v>0</v>
      </c>
      <c r="K34" s="105">
        <f>(EPyG!K34/EPyG!K$9)*100</f>
        <v>0</v>
      </c>
    </row>
    <row r="35" spans="2:11" x14ac:dyDescent="0.2">
      <c r="B35" s="140">
        <f>+PYG!B52</f>
        <v>4204</v>
      </c>
      <c r="C35" s="140" t="str">
        <f>+PYG!C52</f>
        <v xml:space="preserve">        Por operaciones de permuta financiera</v>
      </c>
      <c r="D35" s="141">
        <f>(EPyG!D35/EPyG!D$9)*100</f>
        <v>0</v>
      </c>
      <c r="E35" s="104">
        <f>(EPyG!E35/EPyG!E$9)*100</f>
        <v>0</v>
      </c>
      <c r="F35" s="104">
        <f>(EPyG!F35/EPyG!F$9)*100</f>
        <v>0</v>
      </c>
      <c r="G35" s="104">
        <f>(EPyG!G35/EPyG!G$9)*100</f>
        <v>0</v>
      </c>
      <c r="H35" s="104">
        <f>(EPyG!H35/EPyG!H$9)*100</f>
        <v>0</v>
      </c>
      <c r="I35" s="104">
        <f>(EPyG!I35/EPyG!I$9)*100</f>
        <v>0</v>
      </c>
      <c r="J35" s="104">
        <f>(EPyG!J35/EPyG!J$9)*100</f>
        <v>0</v>
      </c>
      <c r="K35" s="105">
        <f>(EPyG!K35/EPyG!K$9)*100</f>
        <v>0</v>
      </c>
    </row>
    <row r="36" spans="2:11" x14ac:dyDescent="0.2">
      <c r="B36" s="140">
        <f>+PYG!B53</f>
        <v>4205</v>
      </c>
      <c r="C36" s="140" t="str">
        <f>+PYG!C53</f>
        <v xml:space="preserve">        Servicios fiduciarios</v>
      </c>
      <c r="D36" s="141">
        <f>(EPyG!D36/EPyG!D$9)*100</f>
        <v>0</v>
      </c>
      <c r="E36" s="104">
        <f>(EPyG!E36/EPyG!E$9)*100</f>
        <v>0</v>
      </c>
      <c r="F36" s="104">
        <f>(EPyG!F36/EPyG!F$9)*100</f>
        <v>0</v>
      </c>
      <c r="G36" s="104">
        <f>(EPyG!G36/EPyG!G$9)*100</f>
        <v>0</v>
      </c>
      <c r="H36" s="104">
        <f>(EPyG!H36/EPyG!H$9)*100</f>
        <v>4.1953003157083117E-4</v>
      </c>
      <c r="I36" s="104">
        <f>(EPyG!I36/EPyG!I$9)*100</f>
        <v>2.1985714967656043E-4</v>
      </c>
      <c r="J36" s="104">
        <f>(EPyG!J36/EPyG!J$9)*100</f>
        <v>2.0857331067622626E-4</v>
      </c>
      <c r="K36" s="105">
        <f>(EPyG!K36/EPyG!K$9)*100</f>
        <v>0</v>
      </c>
    </row>
    <row r="37" spans="2:11" x14ac:dyDescent="0.2">
      <c r="B37" s="140">
        <f>+PYG!B54</f>
        <v>4290</v>
      </c>
      <c r="C37" s="140" t="str">
        <f>+PYG!C54</f>
        <v xml:space="preserve">        Varias</v>
      </c>
      <c r="D37" s="141">
        <f>(EPyG!D37/EPyG!D$9)*100</f>
        <v>0.10648757611031598</v>
      </c>
      <c r="E37" s="104">
        <f>(EPyG!E37/EPyG!E$9)*100</f>
        <v>0.10648757611031598</v>
      </c>
      <c r="F37" s="104">
        <f>(EPyG!F37/EPyG!F$9)*100</f>
        <v>0.1056168064001104</v>
      </c>
      <c r="G37" s="104">
        <f>(EPyG!G37/EPyG!G$9)*100</f>
        <v>1.365581812358151E-2</v>
      </c>
      <c r="H37" s="104">
        <f>(EPyG!H37/EPyG!H$9)*100</f>
        <v>0.31603289436896947</v>
      </c>
      <c r="I37" s="104">
        <f>(EPyG!I37/EPyG!I$9)*100</f>
        <v>0.18893765035745677</v>
      </c>
      <c r="J37" s="104">
        <f>(EPyG!J37/EPyG!J$9)*100</f>
        <v>0.18470602375473305</v>
      </c>
      <c r="K37" s="105">
        <f>(EPyG!K37/EPyG!K$9)*100</f>
        <v>0</v>
      </c>
    </row>
    <row r="38" spans="2:11" x14ac:dyDescent="0.2">
      <c r="B38" s="140">
        <f>+PYG!B55</f>
        <v>53</v>
      </c>
      <c r="C38" s="140" t="str">
        <f>+PYG!C55</f>
        <v>UTILIDADES FINANCIERAS</v>
      </c>
      <c r="D38" s="141">
        <f>(EPyG!D38/EPyG!D$9)*100</f>
        <v>0.43290240957664805</v>
      </c>
      <c r="E38" s="104">
        <f>(EPyG!E38/EPyG!E$9)*100</f>
        <v>0.43290240957664805</v>
      </c>
      <c r="F38" s="104">
        <f>(EPyG!F38/EPyG!F$9)*100</f>
        <v>8.3137271781419161E-5</v>
      </c>
      <c r="G38" s="104">
        <f>(EPyG!G38/EPyG!G$9)*100</f>
        <v>0.75883062349675368</v>
      </c>
      <c r="H38" s="104">
        <f>(EPyG!H38/EPyG!H$9)*100</f>
        <v>2.5438158693022723</v>
      </c>
      <c r="I38" s="104">
        <f>(EPyG!I38/EPyG!I$9)*100</f>
        <v>1.5554900319208704</v>
      </c>
      <c r="J38" s="104">
        <f>(EPyG!J38/EPyG!J$9)*100</f>
        <v>1.4978749031295839</v>
      </c>
      <c r="K38" s="105">
        <f>(EPyG!K38/EPyG!K$9)*100</f>
        <v>0</v>
      </c>
    </row>
    <row r="39" spans="2:11" x14ac:dyDescent="0.2">
      <c r="B39" s="140">
        <f>+PYG!B56</f>
        <v>5301</v>
      </c>
      <c r="C39" s="140" t="str">
        <f>+PYG!C56</f>
        <v xml:space="preserve">        Ganancia en cambio</v>
      </c>
      <c r="D39" s="141">
        <f>(EPyG!D39/EPyG!D$9)*100</f>
        <v>0</v>
      </c>
      <c r="E39" s="104">
        <f>(EPyG!E39/EPyG!E$9)*100</f>
        <v>0</v>
      </c>
      <c r="F39" s="104">
        <f>(EPyG!F39/EPyG!F$9)*100</f>
        <v>0</v>
      </c>
      <c r="G39" s="104">
        <f>(EPyG!G39/EPyG!G$9)*100</f>
        <v>0</v>
      </c>
      <c r="H39" s="104">
        <f>(EPyG!H39/EPyG!H$9)*100</f>
        <v>0</v>
      </c>
      <c r="I39" s="104">
        <f>(EPyG!I39/EPyG!I$9)*100</f>
        <v>0</v>
      </c>
      <c r="J39" s="104">
        <f>(EPyG!J39/EPyG!J$9)*100</f>
        <v>0</v>
      </c>
      <c r="K39" s="105">
        <f>(EPyG!K39/EPyG!K$9)*100</f>
        <v>0</v>
      </c>
    </row>
    <row r="40" spans="2:11" x14ac:dyDescent="0.2">
      <c r="B40" s="140">
        <f>+PYG!B57</f>
        <v>5302</v>
      </c>
      <c r="C40" s="140" t="str">
        <f>+PYG!C57</f>
        <v xml:space="preserve">        En valuación de inversiones</v>
      </c>
      <c r="D40" s="141">
        <f>(EPyG!D40/EPyG!D$9)*100</f>
        <v>0.43290240957664805</v>
      </c>
      <c r="E40" s="104">
        <f>(EPyG!E40/EPyG!E$9)*100</f>
        <v>0.43290240957664805</v>
      </c>
      <c r="F40" s="104">
        <f>(EPyG!F40/EPyG!F$9)*100</f>
        <v>8.3137271781419161E-5</v>
      </c>
      <c r="G40" s="104">
        <f>(EPyG!G40/EPyG!G$9)*100</f>
        <v>0.74866340953222976</v>
      </c>
      <c r="H40" s="104">
        <f>(EPyG!H40/EPyG!H$9)*100</f>
        <v>9.1487780870685764E-2</v>
      </c>
      <c r="I40" s="104">
        <f>(EPyG!I40/EPyG!I$9)*100</f>
        <v>0.26735377837281882</v>
      </c>
      <c r="J40" s="104">
        <f>(EPyG!J40/EPyG!J$9)*100</f>
        <v>0.27585031398231713</v>
      </c>
      <c r="K40" s="105">
        <f>(EPyG!K40/EPyG!K$9)*100</f>
        <v>0</v>
      </c>
    </row>
    <row r="41" spans="2:11" x14ac:dyDescent="0.2">
      <c r="B41" s="140">
        <f>+PYG!B58</f>
        <v>5303</v>
      </c>
      <c r="C41" s="140" t="str">
        <f>+PYG!C58</f>
        <v xml:space="preserve">        En venta de activos productivos</v>
      </c>
      <c r="D41" s="141">
        <f>(EPyG!D41/EPyG!D$9)*100</f>
        <v>0</v>
      </c>
      <c r="E41" s="104">
        <f>(EPyG!E41/EPyG!E$9)*100</f>
        <v>0</v>
      </c>
      <c r="F41" s="104">
        <f>(EPyG!F41/EPyG!F$9)*100</f>
        <v>0</v>
      </c>
      <c r="G41" s="104">
        <f>(EPyG!G41/EPyG!G$9)*100</f>
        <v>0</v>
      </c>
      <c r="H41" s="104">
        <f>(EPyG!H41/EPyG!H$9)*100</f>
        <v>0.31023305221695358</v>
      </c>
      <c r="I41" s="104">
        <f>(EPyG!I41/EPyG!I$9)*100</f>
        <v>0.16257943284892887</v>
      </c>
      <c r="J41" s="104">
        <f>(EPyG!J41/EPyG!J$9)*100</f>
        <v>0.15423528689901647</v>
      </c>
      <c r="K41" s="105">
        <f>(EPyG!K41/EPyG!K$9)*100</f>
        <v>0</v>
      </c>
    </row>
    <row r="42" spans="2:11" x14ac:dyDescent="0.2">
      <c r="B42" s="140">
        <f>+PYG!B59</f>
        <v>5304</v>
      </c>
      <c r="C42" s="140" t="str">
        <f>+PYG!C59</f>
        <v xml:space="preserve">        Rendimientos por fideicomiso mercantil</v>
      </c>
      <c r="D42" s="141">
        <f>(EPyG!D42/EPyG!D$9)*100</f>
        <v>0</v>
      </c>
      <c r="E42" s="104">
        <f>(EPyG!E42/EPyG!E$9)*100</f>
        <v>0</v>
      </c>
      <c r="F42" s="104">
        <f>(EPyG!F42/EPyG!F$9)*100</f>
        <v>0</v>
      </c>
      <c r="G42" s="104">
        <f>(EPyG!G42/EPyG!G$9)*100</f>
        <v>0</v>
      </c>
      <c r="H42" s="104">
        <f>(EPyG!H42/EPyG!H$9)*100</f>
        <v>2.1175652472636792</v>
      </c>
      <c r="I42" s="104">
        <f>(EPyG!I42/EPyG!I$9)*100</f>
        <v>1.1097223666547706</v>
      </c>
      <c r="J42" s="104">
        <f>(EPyG!J42/EPyG!J$9)*100</f>
        <v>1.0527675278477375</v>
      </c>
      <c r="K42" s="105">
        <f>(EPyG!K42/EPyG!K$9)*100</f>
        <v>0</v>
      </c>
    </row>
    <row r="43" spans="2:11" x14ac:dyDescent="0.2">
      <c r="B43" s="140">
        <f>+PYG!B60</f>
        <v>5305</v>
      </c>
      <c r="C43" s="140" t="str">
        <f>+PYG!C60</f>
        <v xml:space="preserve">        Arrendamiento financiero</v>
      </c>
      <c r="D43" s="141">
        <f>(EPyG!D43/EPyG!D$9)*100</f>
        <v>0</v>
      </c>
      <c r="E43" s="104">
        <f>(EPyG!E43/EPyG!E$9)*100</f>
        <v>0</v>
      </c>
      <c r="F43" s="104">
        <f>(EPyG!F43/EPyG!F$9)*100</f>
        <v>0</v>
      </c>
      <c r="G43" s="104">
        <f>(EPyG!G43/EPyG!G$9)*100</f>
        <v>1.0167213964523756E-2</v>
      </c>
      <c r="H43" s="104">
        <f>(EPyG!H43/EPyG!H$9)*100</f>
        <v>2.4529788950953577E-2</v>
      </c>
      <c r="I43" s="104">
        <f>(EPyG!I43/EPyG!I$9)*100</f>
        <v>1.5834454044352061E-2</v>
      </c>
      <c r="J43" s="104">
        <f>(EPyG!J43/EPyG!J$9)*100</f>
        <v>1.5021774400512817E-2</v>
      </c>
      <c r="K43" s="105">
        <f>(EPyG!K43/EPyG!K$9)*100</f>
        <v>0</v>
      </c>
    </row>
    <row r="44" spans="2:11" x14ac:dyDescent="0.2">
      <c r="B44" s="140">
        <f>+PYG!B61</f>
        <v>43</v>
      </c>
      <c r="C44" s="140" t="str">
        <f>+PYG!C61</f>
        <v>PERDIDAS FINANCIERAS</v>
      </c>
      <c r="D44" s="141">
        <f>(EPyG!D44/EPyG!D$9)*100</f>
        <v>0.14671742674657151</v>
      </c>
      <c r="E44" s="104">
        <f>(EPyG!E44/EPyG!E$9)*100</f>
        <v>0.14671742674657151</v>
      </c>
      <c r="F44" s="104">
        <f>(EPyG!F44/EPyG!F$9)*100</f>
        <v>0</v>
      </c>
      <c r="G44" s="104">
        <f>(EPyG!G44/EPyG!G$9)*100</f>
        <v>0</v>
      </c>
      <c r="H44" s="104">
        <f>(EPyG!H44/EPyG!H$9)*100</f>
        <v>2.5642511141154509</v>
      </c>
      <c r="I44" s="104">
        <f>(EPyG!I44/EPyG!I$9)*100</f>
        <v>1.3438106895314927</v>
      </c>
      <c r="J44" s="104">
        <f>(EPyG!J44/EPyG!J$9)*100</f>
        <v>1.2823716703068664</v>
      </c>
      <c r="K44" s="105">
        <f>(EPyG!K44/EPyG!K$9)*100</f>
        <v>0</v>
      </c>
    </row>
    <row r="45" spans="2:11" x14ac:dyDescent="0.2">
      <c r="B45" s="140">
        <f>+PYG!B62</f>
        <v>4301</v>
      </c>
      <c r="C45" s="140" t="str">
        <f>+PYG!C62</f>
        <v xml:space="preserve">        Pérdida en cambio</v>
      </c>
      <c r="D45" s="141">
        <f>(EPyG!D45/EPyG!D$9)*100</f>
        <v>3.2264651568196236E-4</v>
      </c>
      <c r="E45" s="104">
        <f>(EPyG!E45/EPyG!E$9)*100</f>
        <v>3.2264651568196236E-4</v>
      </c>
      <c r="F45" s="104">
        <f>(EPyG!F45/EPyG!F$9)*100</f>
        <v>0</v>
      </c>
      <c r="G45" s="104">
        <f>(EPyG!G45/EPyG!G$9)*100</f>
        <v>0</v>
      </c>
      <c r="H45" s="104">
        <f>(EPyG!H45/EPyG!H$9)*100</f>
        <v>0</v>
      </c>
      <c r="I45" s="104">
        <f>(EPyG!I45/EPyG!I$9)*100</f>
        <v>0</v>
      </c>
      <c r="J45" s="104">
        <f>(EPyG!J45/EPyG!J$9)*100</f>
        <v>1.6559349297168641E-5</v>
      </c>
      <c r="K45" s="105">
        <f>(EPyG!K45/EPyG!K$9)*100</f>
        <v>0</v>
      </c>
    </row>
    <row r="46" spans="2:11" x14ac:dyDescent="0.2">
      <c r="B46" s="140">
        <f>+PYG!B63</f>
        <v>4302</v>
      </c>
      <c r="C46" s="140" t="str">
        <f>+PYG!C63</f>
        <v xml:space="preserve">        En valuación de inversiones</v>
      </c>
      <c r="D46" s="141">
        <f>(EPyG!D46/EPyG!D$9)*100</f>
        <v>0.10907790582163268</v>
      </c>
      <c r="E46" s="104">
        <f>(EPyG!E46/EPyG!E$9)*100</f>
        <v>0.10907790582163268</v>
      </c>
      <c r="F46" s="104">
        <f>(EPyG!F46/EPyG!F$9)*100</f>
        <v>0</v>
      </c>
      <c r="G46" s="104">
        <f>(EPyG!G46/EPyG!G$9)*100</f>
        <v>0</v>
      </c>
      <c r="H46" s="104">
        <f>(EPyG!H46/EPyG!H$9)*100</f>
        <v>0.15574390068814314</v>
      </c>
      <c r="I46" s="104">
        <f>(EPyG!I46/EPyG!I$9)*100</f>
        <v>8.1618495716732298E-2</v>
      </c>
      <c r="J46" s="104">
        <f>(EPyG!J46/EPyG!J$9)*100</f>
        <v>8.3027808823554941E-2</v>
      </c>
      <c r="K46" s="105">
        <f>(EPyG!K46/EPyG!K$9)*100</f>
        <v>0</v>
      </c>
    </row>
    <row r="47" spans="2:11" x14ac:dyDescent="0.2">
      <c r="B47" s="140">
        <f>+PYG!B64</f>
        <v>4303</v>
      </c>
      <c r="C47" s="140" t="str">
        <f>+PYG!C64</f>
        <v xml:space="preserve">        En venta de activos productivos</v>
      </c>
      <c r="D47" s="141">
        <f>(EPyG!D47/EPyG!D$9)*100</f>
        <v>3.7316874409256878E-2</v>
      </c>
      <c r="E47" s="104">
        <f>(EPyG!E47/EPyG!E$9)*100</f>
        <v>3.7316874409256878E-2</v>
      </c>
      <c r="F47" s="104">
        <f>(EPyG!F47/EPyG!F$9)*100</f>
        <v>0</v>
      </c>
      <c r="G47" s="104">
        <f>(EPyG!G47/EPyG!G$9)*100</f>
        <v>0</v>
      </c>
      <c r="H47" s="104">
        <f>(EPyG!H47/EPyG!H$9)*100</f>
        <v>0.46992740845464731</v>
      </c>
      <c r="I47" s="104">
        <f>(EPyG!I47/EPyG!I$9)*100</f>
        <v>0.24626818774066256</v>
      </c>
      <c r="J47" s="104">
        <f>(EPyG!J47/EPyG!J$9)*100</f>
        <v>0.23554407446070524</v>
      </c>
      <c r="K47" s="105">
        <f>(EPyG!K47/EPyG!K$9)*100</f>
        <v>0</v>
      </c>
    </row>
    <row r="48" spans="2:11" x14ac:dyDescent="0.2">
      <c r="B48" s="140">
        <f>+PYG!B65</f>
        <v>4304</v>
      </c>
      <c r="C48" s="140" t="str">
        <f>+PYG!C65</f>
        <v xml:space="preserve">        Pérdidas por fideicomiso mercantil</v>
      </c>
      <c r="D48" s="141">
        <f>(EPyG!D48/EPyG!D$9)*100</f>
        <v>0</v>
      </c>
      <c r="E48" s="104">
        <f>(EPyG!E48/EPyG!E$9)*100</f>
        <v>0</v>
      </c>
      <c r="F48" s="104">
        <f>(EPyG!F48/EPyG!F$9)*100</f>
        <v>0</v>
      </c>
      <c r="G48" s="104">
        <f>(EPyG!G48/EPyG!G$9)*100</f>
        <v>0</v>
      </c>
      <c r="H48" s="104">
        <f>(EPyG!H48/EPyG!H$9)*100</f>
        <v>1.9385798049726604</v>
      </c>
      <c r="I48" s="104">
        <f>(EPyG!I48/EPyG!I$9)*100</f>
        <v>1.0159240060740977</v>
      </c>
      <c r="J48" s="104">
        <f>(EPyG!J48/EPyG!J$9)*100</f>
        <v>0.96378322767330871</v>
      </c>
      <c r="K48" s="105">
        <f>(EPyG!K48/EPyG!K$9)*100</f>
        <v>0</v>
      </c>
    </row>
    <row r="49" spans="2:11" x14ac:dyDescent="0.2">
      <c r="B49" s="140"/>
      <c r="C49" s="140" t="str">
        <f>+PYG!C66</f>
        <v>MARGEN BRUTO FINANCIERO</v>
      </c>
      <c r="D49" s="141">
        <f>(EPyG!D49/EPyG!D$9)*100</f>
        <v>49.952681227591796</v>
      </c>
      <c r="E49" s="104">
        <f>(EPyG!E49/EPyG!E$9)*100</f>
        <v>49.952681227591796</v>
      </c>
      <c r="F49" s="104">
        <f>(EPyG!F49/EPyG!F$9)*100</f>
        <v>81.314485666560131</v>
      </c>
      <c r="G49" s="104">
        <f>(EPyG!G49/EPyG!G$9)*100</f>
        <v>65.721915986036038</v>
      </c>
      <c r="H49" s="104">
        <f>(EPyG!H49/EPyG!H$9)*100</f>
        <v>37.363288109517242</v>
      </c>
      <c r="I49" s="104">
        <f>(EPyG!I49/EPyG!I$9)*100</f>
        <v>53.712243225002354</v>
      </c>
      <c r="J49" s="104">
        <f>(EPyG!J49/EPyG!J$9)*100</f>
        <v>53.519289334928899</v>
      </c>
      <c r="K49" s="105">
        <f>(EPyG!K49/EPyG!K$9)*100</f>
        <v>94.188340573833941</v>
      </c>
    </row>
    <row r="50" spans="2:11" x14ac:dyDescent="0.2">
      <c r="B50" s="140"/>
      <c r="C50" s="140"/>
      <c r="D50" s="141"/>
      <c r="E50" s="104"/>
      <c r="F50" s="104"/>
      <c r="G50" s="104"/>
      <c r="H50" s="104"/>
      <c r="I50" s="104"/>
      <c r="J50" s="104"/>
      <c r="K50" s="105"/>
    </row>
    <row r="51" spans="2:11" x14ac:dyDescent="0.2">
      <c r="B51" s="140">
        <f>+PYG!B68</f>
        <v>44</v>
      </c>
      <c r="C51" s="140" t="str">
        <f>+PYG!C68</f>
        <v>PROVISIONES</v>
      </c>
      <c r="D51" s="141">
        <f>(EPyG!D51/EPyG!D$9)*100</f>
        <v>69.95854678228504</v>
      </c>
      <c r="E51" s="104">
        <f>(EPyG!E51/EPyG!E$9)*100</f>
        <v>69.95854678228504</v>
      </c>
      <c r="F51" s="104">
        <f>(EPyG!F51/EPyG!F$9)*100</f>
        <v>0.89580158206851601</v>
      </c>
      <c r="G51" s="104">
        <f>(EPyG!G51/EPyG!G$9)*100</f>
        <v>35.523714190256115</v>
      </c>
      <c r="H51" s="104">
        <f>(EPyG!H51/EPyG!H$9)*100</f>
        <v>16.799809762347252</v>
      </c>
      <c r="I51" s="104">
        <f>(EPyG!I51/EPyG!I$9)*100</f>
        <v>19.378009394133066</v>
      </c>
      <c r="J51" s="104">
        <f>(EPyG!J51/EPyG!J$9)*100</f>
        <v>21.973979737958267</v>
      </c>
      <c r="K51" s="105">
        <f>(EPyG!K51/EPyG!K$9)*100</f>
        <v>1.3415791995232735</v>
      </c>
    </row>
    <row r="52" spans="2:11" x14ac:dyDescent="0.2">
      <c r="B52" s="140">
        <f>+PYG!B69</f>
        <v>4401</v>
      </c>
      <c r="C52" s="140" t="str">
        <f>+PYG!C69</f>
        <v xml:space="preserve">        Inversiones</v>
      </c>
      <c r="D52" s="141">
        <f>(EPyG!D52/EPyG!D$9)*100</f>
        <v>3.4556927777432598E-7</v>
      </c>
      <c r="E52" s="104">
        <f>(EPyG!E52/EPyG!E$9)*100</f>
        <v>3.4556927777432598E-7</v>
      </c>
      <c r="F52" s="104">
        <f>(EPyG!F52/EPyG!F$9)*100</f>
        <v>2.6467704505881127E-2</v>
      </c>
      <c r="G52" s="104">
        <f>(EPyG!G52/EPyG!G$9)*100</f>
        <v>0.59575698365246066</v>
      </c>
      <c r="H52" s="104">
        <f>(EPyG!H52/EPyG!H$9)*100</f>
        <v>3.9048399826258537E-3</v>
      </c>
      <c r="I52" s="104">
        <f>(EPyG!I52/EPyG!I$9)*100</f>
        <v>0.18147225065432443</v>
      </c>
      <c r="J52" s="104">
        <f>(EPyG!J52/EPyG!J$9)*100</f>
        <v>0.17215847685585559</v>
      </c>
      <c r="K52" s="105">
        <f>(EPyG!K52/EPyG!K$9)*100</f>
        <v>0</v>
      </c>
    </row>
    <row r="53" spans="2:11" x14ac:dyDescent="0.2">
      <c r="B53" s="140">
        <f>+PYG!B70</f>
        <v>4402</v>
      </c>
      <c r="C53" s="140" t="str">
        <f>+PYG!C70</f>
        <v xml:space="preserve">        Cartera de créditos</v>
      </c>
      <c r="D53" s="141">
        <f>(EPyG!D53/EPyG!D$9)*100</f>
        <v>65.754406585536302</v>
      </c>
      <c r="E53" s="104">
        <f>(EPyG!E53/EPyG!E$9)*100</f>
        <v>65.754406585536302</v>
      </c>
      <c r="F53" s="104">
        <f>(EPyG!F53/EPyG!F$9)*100</f>
        <v>0.81467699889888556</v>
      </c>
      <c r="G53" s="104">
        <f>(EPyG!G53/EPyG!G$9)*100</f>
        <v>31.184415840571202</v>
      </c>
      <c r="H53" s="104">
        <f>(EPyG!H53/EPyG!H$9)*100</f>
        <v>9.318769093255586</v>
      </c>
      <c r="I53" s="104">
        <f>(EPyG!I53/EPyG!I$9)*100</f>
        <v>14.171069032098407</v>
      </c>
      <c r="J53" s="104">
        <f>(EPyG!J53/EPyG!J$9)*100</f>
        <v>16.81850659284715</v>
      </c>
      <c r="K53" s="105">
        <f>(EPyG!K53/EPyG!K$9)*100</f>
        <v>-6.1095748759488222</v>
      </c>
    </row>
    <row r="54" spans="2:11" x14ac:dyDescent="0.2">
      <c r="B54" s="140">
        <f>+PYG!B71</f>
        <v>4403</v>
      </c>
      <c r="C54" s="140" t="str">
        <f>+PYG!C71</f>
        <v xml:space="preserve">        Cuentas por cobrar</v>
      </c>
      <c r="D54" s="141">
        <f>(EPyG!D54/EPyG!D$9)*100</f>
        <v>3.0930350991829938</v>
      </c>
      <c r="E54" s="104">
        <f>(EPyG!E54/EPyG!E$9)*100</f>
        <v>3.0930350991829938</v>
      </c>
      <c r="F54" s="104">
        <f>(EPyG!F54/EPyG!F$9)*100</f>
        <v>5.465687866374936E-2</v>
      </c>
      <c r="G54" s="104">
        <f>(EPyG!G54/EPyG!G$9)*100</f>
        <v>3.4934418419934756</v>
      </c>
      <c r="H54" s="104">
        <f>(EPyG!H54/EPyG!H$9)*100</f>
        <v>4.0601613388021827</v>
      </c>
      <c r="I54" s="104">
        <f>(EPyG!I54/EPyG!I$9)*100</f>
        <v>3.161491767248866</v>
      </c>
      <c r="J54" s="104">
        <f>(EPyG!J54/EPyG!J$9)*100</f>
        <v>3.1579783312651331</v>
      </c>
      <c r="K54" s="105">
        <f>(EPyG!K54/EPyG!K$9)*100</f>
        <v>7.3630950736263943</v>
      </c>
    </row>
    <row r="55" spans="2:11" x14ac:dyDescent="0.2">
      <c r="B55" s="140">
        <f>+PYG!B72</f>
        <v>4404</v>
      </c>
      <c r="C55" s="140" t="str">
        <f>+PYG!C72</f>
        <v xml:space="preserve">        Bienes realizables, adjudicados por pago y de arrendamiento mercantil</v>
      </c>
      <c r="D55" s="141">
        <f>(EPyG!D55/EPyG!D$9)*100</f>
        <v>0.55361200450352566</v>
      </c>
      <c r="E55" s="104">
        <f>(EPyG!E55/EPyG!E$9)*100</f>
        <v>0.55361200450352566</v>
      </c>
      <c r="F55" s="104">
        <f>(EPyG!F55/EPyG!F$9)*100</f>
        <v>0</v>
      </c>
      <c r="G55" s="104">
        <f>(EPyG!G55/EPyG!G$9)*100</f>
        <v>0</v>
      </c>
      <c r="H55" s="104">
        <f>(EPyG!H55/EPyG!H$9)*100</f>
        <v>0.98173814216898581</v>
      </c>
      <c r="I55" s="104">
        <f>(EPyG!I55/EPyG!I$9)*100</f>
        <v>0.51448557534216344</v>
      </c>
      <c r="J55" s="104">
        <f>(EPyG!J55/EPyG!J$9)*100</f>
        <v>0.51649368073225099</v>
      </c>
      <c r="K55" s="105">
        <f>(EPyG!K55/EPyG!K$9)*100</f>
        <v>0</v>
      </c>
    </row>
    <row r="56" spans="2:11" x14ac:dyDescent="0.2">
      <c r="B56" s="140">
        <f>+PYG!B73</f>
        <v>4405</v>
      </c>
      <c r="C56" s="140" t="str">
        <f>+PYG!C73</f>
        <v xml:space="preserve">        Otros activos</v>
      </c>
      <c r="D56" s="141">
        <f>(EPyG!D56/EPyG!D$9)*100</f>
        <v>0.55749274749293143</v>
      </c>
      <c r="E56" s="104">
        <f>(EPyG!E56/EPyG!E$9)*100</f>
        <v>0.55749274749293143</v>
      </c>
      <c r="F56" s="104">
        <f>(EPyG!F56/EPyG!F$9)*100</f>
        <v>0</v>
      </c>
      <c r="G56" s="104">
        <f>(EPyG!G56/EPyG!G$9)*100</f>
        <v>0.25009952403897884</v>
      </c>
      <c r="H56" s="104">
        <f>(EPyG!H56/EPyG!H$9)*100</f>
        <v>2.4352363481378725</v>
      </c>
      <c r="I56" s="104">
        <f>(EPyG!I56/EPyG!I$9)*100</f>
        <v>1.3494907687893072</v>
      </c>
      <c r="J56" s="104">
        <f>(EPyG!J56/EPyG!J$9)*100</f>
        <v>1.3088426562578808</v>
      </c>
      <c r="K56" s="105">
        <f>(EPyG!K56/EPyG!K$9)*100</f>
        <v>8.8059001845701451E-2</v>
      </c>
    </row>
    <row r="57" spans="2:11" x14ac:dyDescent="0.2">
      <c r="B57" s="140">
        <f>+PYG!B74</f>
        <v>4406</v>
      </c>
      <c r="C57" s="140" t="str">
        <f>+PYG!C74</f>
        <v xml:space="preserve">        Operaciones contingentes</v>
      </c>
      <c r="D57" s="141">
        <f>(EPyG!D57/EPyG!D$9)*100</f>
        <v>0</v>
      </c>
      <c r="E57" s="104">
        <f>(EPyG!E57/EPyG!E$9)*100</f>
        <v>0</v>
      </c>
      <c r="F57" s="104">
        <f>(EPyG!F57/EPyG!F$9)*100</f>
        <v>0</v>
      </c>
      <c r="G57" s="104">
        <f>(EPyG!G57/EPyG!G$9)*100</f>
        <v>0</v>
      </c>
      <c r="H57" s="104">
        <f>(EPyG!H57/EPyG!H$9)*100</f>
        <v>0</v>
      </c>
      <c r="I57" s="104">
        <f>(EPyG!I57/EPyG!I$9)*100</f>
        <v>0</v>
      </c>
      <c r="J57" s="104">
        <f>(EPyG!J57/EPyG!J$9)*100</f>
        <v>0</v>
      </c>
      <c r="K57" s="105">
        <f>(EPyG!K57/EPyG!K$9)*100</f>
        <v>0</v>
      </c>
    </row>
    <row r="58" spans="2:11" x14ac:dyDescent="0.2">
      <c r="B58" s="140"/>
      <c r="C58" s="140" t="str">
        <f>+PYG!C75</f>
        <v>MARGEN NETO FINANCIERO</v>
      </c>
      <c r="D58" s="141">
        <f>(EPyG!D58/EPyG!D$9)*100</f>
        <v>-20.00586555469323</v>
      </c>
      <c r="E58" s="104">
        <f>(EPyG!E58/EPyG!E$9)*100</f>
        <v>-20.00586555469323</v>
      </c>
      <c r="F58" s="104">
        <f>(EPyG!F58/EPyG!F$9)*100</f>
        <v>80.41868408449163</v>
      </c>
      <c r="G58" s="104">
        <f>(EPyG!G58/EPyG!G$9)*100</f>
        <v>30.198201795779923</v>
      </c>
      <c r="H58" s="104">
        <f>(EPyG!H58/EPyG!H$9)*100</f>
        <v>20.56347834716999</v>
      </c>
      <c r="I58" s="104">
        <f>(EPyG!I58/EPyG!I$9)*100</f>
        <v>34.334233830869287</v>
      </c>
      <c r="J58" s="104">
        <f>(EPyG!J58/EPyG!J$9)*100</f>
        <v>31.545309596970629</v>
      </c>
      <c r="K58" s="105">
        <f>(EPyG!K58/EPyG!K$9)*100</f>
        <v>92.846761374310645</v>
      </c>
    </row>
    <row r="59" spans="2:11" x14ac:dyDescent="0.2">
      <c r="B59" s="140"/>
      <c r="C59" s="140"/>
      <c r="D59" s="141"/>
      <c r="E59" s="104"/>
      <c r="F59" s="104"/>
      <c r="G59" s="104"/>
      <c r="H59" s="104"/>
      <c r="I59" s="104"/>
      <c r="J59" s="104"/>
      <c r="K59" s="105"/>
    </row>
    <row r="60" spans="2:11" x14ac:dyDescent="0.2">
      <c r="B60" s="140">
        <f>+PYG!B77</f>
        <v>45</v>
      </c>
      <c r="C60" s="140" t="str">
        <f>+PYG!C77</f>
        <v>GASTOS DE OPERACION</v>
      </c>
      <c r="D60" s="141">
        <f>(EPyG!D60/EPyG!D$9)*100</f>
        <v>48.943218536887592</v>
      </c>
      <c r="E60" s="104">
        <f>(EPyG!E60/EPyG!E$9)*100</f>
        <v>48.943218536887592</v>
      </c>
      <c r="F60" s="104">
        <f>(EPyG!F60/EPyG!F$9)*100</f>
        <v>17.180321796402012</v>
      </c>
      <c r="G60" s="104">
        <f>(EPyG!G60/EPyG!G$9)*100</f>
        <v>56.585012792257253</v>
      </c>
      <c r="H60" s="104">
        <f>(EPyG!H60/EPyG!H$9)*100</f>
        <v>17.874665425186294</v>
      </c>
      <c r="I60" s="104">
        <f>(EPyG!I60/EPyG!I$9)*100</f>
        <v>29.091639076584396</v>
      </c>
      <c r="J60" s="104">
        <f>(EPyG!J60/EPyG!J$9)*100</f>
        <v>30.110491667286759</v>
      </c>
      <c r="K60" s="105">
        <f>(EPyG!K60/EPyG!K$9)*100</f>
        <v>63.910492229310513</v>
      </c>
    </row>
    <row r="61" spans="2:11" x14ac:dyDescent="0.2">
      <c r="B61" s="140">
        <f>+PYG!B78</f>
        <v>4501</v>
      </c>
      <c r="C61" s="140" t="str">
        <f>+PYG!C78</f>
        <v xml:space="preserve">        Gastos de personal</v>
      </c>
      <c r="D61" s="141">
        <f>(EPyG!D61/EPyG!D$9)*100</f>
        <v>29.56337689784495</v>
      </c>
      <c r="E61" s="104">
        <f>(EPyG!E61/EPyG!E$9)*100</f>
        <v>29.56337689784495</v>
      </c>
      <c r="F61" s="104">
        <f>(EPyG!F61/EPyG!F$9)*100</f>
        <v>13.464796435155696</v>
      </c>
      <c r="G61" s="104">
        <f>(EPyG!G61/EPyG!G$9)*100</f>
        <v>36.559665647777997</v>
      </c>
      <c r="H61" s="104">
        <f>(EPyG!H61/EPyG!H$9)*100</f>
        <v>10.232381860761095</v>
      </c>
      <c r="I61" s="104">
        <f>(EPyG!I61/EPyG!I$9)*100</f>
        <v>18.538722311322061</v>
      </c>
      <c r="J61" s="104">
        <f>(EPyG!J61/EPyG!J$9)*100</f>
        <v>19.104546200022654</v>
      </c>
      <c r="K61" s="105">
        <f>(EPyG!K61/EPyG!K$9)*100</f>
        <v>46.180403967900666</v>
      </c>
    </row>
    <row r="62" spans="2:11" x14ac:dyDescent="0.2">
      <c r="B62" s="140">
        <f>+PYG!B79</f>
        <v>4502</v>
      </c>
      <c r="C62" s="140" t="str">
        <f>+PYG!C79</f>
        <v xml:space="preserve">        Honorarios</v>
      </c>
      <c r="D62" s="141">
        <f>(EPyG!D62/EPyG!D$9)*100</f>
        <v>5.0890355298936303</v>
      </c>
      <c r="E62" s="104">
        <f>(EPyG!E62/EPyG!E$9)*100</f>
        <v>5.0890355298936303</v>
      </c>
      <c r="F62" s="104">
        <f>(EPyG!F62/EPyG!F$9)*100</f>
        <v>1.2089317787198905E-3</v>
      </c>
      <c r="G62" s="104">
        <f>(EPyG!G62/EPyG!G$9)*100</f>
        <v>6.5150467630528822E-3</v>
      </c>
      <c r="H62" s="104">
        <f>(EPyG!H62/EPyG!H$9)*100</f>
        <v>7.3214750793207217E-2</v>
      </c>
      <c r="I62" s="104">
        <f>(EPyG!I62/EPyG!I$9)*100</f>
        <v>4.0498942673814146E-2</v>
      </c>
      <c r="J62" s="104">
        <f>(EPyG!J62/EPyG!J$9)*100</f>
        <v>0.29960752350136888</v>
      </c>
      <c r="K62" s="105">
        <f>(EPyG!K62/EPyG!K$9)*100</f>
        <v>5.3064943427531585E-3</v>
      </c>
    </row>
    <row r="63" spans="2:11" x14ac:dyDescent="0.2">
      <c r="B63" s="140">
        <f>+PYG!B80</f>
        <v>4503</v>
      </c>
      <c r="C63" s="140" t="str">
        <f>+PYG!C80</f>
        <v xml:space="preserve">        Servicios varios</v>
      </c>
      <c r="D63" s="141">
        <f>(EPyG!D63/EPyG!D$9)*100</f>
        <v>5.793355191999308</v>
      </c>
      <c r="E63" s="104">
        <f>(EPyG!E63/EPyG!E$9)*100</f>
        <v>5.793355191999308</v>
      </c>
      <c r="F63" s="104">
        <f>(EPyG!F63/EPyG!F$9)*100</f>
        <v>1.2548109969708359</v>
      </c>
      <c r="G63" s="104">
        <f>(EPyG!G63/EPyG!G$9)*100</f>
        <v>10.082102840766163</v>
      </c>
      <c r="H63" s="104">
        <f>(EPyG!H63/EPyG!H$9)*100</f>
        <v>2.7477827196288254</v>
      </c>
      <c r="I63" s="104">
        <f>(EPyG!I63/EPyG!I$9)*100</f>
        <v>4.6240264736006358</v>
      </c>
      <c r="J63" s="104">
        <f>(EPyG!J63/EPyG!J$9)*100</f>
        <v>4.684040519158347</v>
      </c>
      <c r="K63" s="105">
        <f>(EPyG!K63/EPyG!K$9)*100</f>
        <v>8.1684382361042314</v>
      </c>
    </row>
    <row r="64" spans="2:11" x14ac:dyDescent="0.2">
      <c r="B64" s="140">
        <f>+PYG!B81</f>
        <v>4504</v>
      </c>
      <c r="C64" s="140" t="str">
        <f>+PYG!C81</f>
        <v xml:space="preserve">        Impuestos, contribuciones y multas</v>
      </c>
      <c r="D64" s="141">
        <f>(EPyG!D64/EPyG!D$9)*100</f>
        <v>2.01053110048713</v>
      </c>
      <c r="E64" s="104">
        <f>(EPyG!E64/EPyG!E$9)*100</f>
        <v>2.01053110048713</v>
      </c>
      <c r="F64" s="104">
        <f>(EPyG!F64/EPyG!F$9)*100</f>
        <v>0.32036348002288167</v>
      </c>
      <c r="G64" s="104">
        <f>(EPyG!G64/EPyG!G$9)*100</f>
        <v>4.0993008504397492</v>
      </c>
      <c r="H64" s="104">
        <f>(EPyG!H64/EPyG!H$9)*100</f>
        <v>1.1720827881566536</v>
      </c>
      <c r="I64" s="104">
        <f>(EPyG!I64/EPyG!I$9)*100</f>
        <v>1.8741197229446349</v>
      </c>
      <c r="J64" s="104">
        <f>(EPyG!J64/EPyG!J$9)*100</f>
        <v>1.881120832639124</v>
      </c>
      <c r="K64" s="105">
        <f>(EPyG!K64/EPyG!K$9)*100</f>
        <v>1.210953842029415</v>
      </c>
    </row>
    <row r="65" spans="2:11" x14ac:dyDescent="0.2">
      <c r="B65" s="140">
        <f>+PYG!B82</f>
        <v>4505</v>
      </c>
      <c r="C65" s="140" t="str">
        <f>+PYG!C82</f>
        <v xml:space="preserve">        Depreciaciones</v>
      </c>
      <c r="D65" s="141">
        <f>(EPyG!D65/EPyG!D$9)*100</f>
        <v>1.4962000133830917</v>
      </c>
      <c r="E65" s="104">
        <f>(EPyG!E65/EPyG!E$9)*100</f>
        <v>1.4962000133830917</v>
      </c>
      <c r="F65" s="104">
        <f>(EPyG!F65/EPyG!F$9)*100</f>
        <v>1.1564313411882763</v>
      </c>
      <c r="G65" s="104">
        <f>(EPyG!G65/EPyG!G$9)*100</f>
        <v>0.72703473573360855</v>
      </c>
      <c r="H65" s="104">
        <f>(EPyG!H65/EPyG!H$9)*100</f>
        <v>1.2995285201401656</v>
      </c>
      <c r="I65" s="104">
        <f>(EPyG!I65/EPyG!I$9)*100</f>
        <v>1.105588687681802</v>
      </c>
      <c r="J65" s="104">
        <f>(EPyG!J65/EPyG!J$9)*100</f>
        <v>1.1256362290849566</v>
      </c>
      <c r="K65" s="105">
        <f>(EPyG!K65/EPyG!K$9)*100</f>
        <v>4.0068555430614001</v>
      </c>
    </row>
    <row r="66" spans="2:11" x14ac:dyDescent="0.2">
      <c r="B66" s="140">
        <f>+PYG!B83</f>
        <v>4506</v>
      </c>
      <c r="C66" s="140" t="str">
        <f>+PYG!C83</f>
        <v xml:space="preserve">        Amortizaciones</v>
      </c>
      <c r="D66" s="141">
        <f>(EPyG!D66/EPyG!D$9)*100</f>
        <v>0.65292769341779278</v>
      </c>
      <c r="E66" s="104">
        <f>(EPyG!E66/EPyG!E$9)*100</f>
        <v>0.65292769341779278</v>
      </c>
      <c r="F66" s="104">
        <f>(EPyG!F66/EPyG!F$9)*100</f>
        <v>0.11149742250887722</v>
      </c>
      <c r="G66" s="104">
        <f>(EPyG!G66/EPyG!G$9)*100</f>
        <v>1.8823227906017814</v>
      </c>
      <c r="H66" s="104">
        <f>(EPyG!H66/EPyG!H$9)*100</f>
        <v>0.32580463233830581</v>
      </c>
      <c r="I66" s="104">
        <f>(EPyG!I66/EPyG!I$9)*100</f>
        <v>0.74274214058537513</v>
      </c>
      <c r="J66" s="104">
        <f>(EPyG!J66/EPyG!J$9)*100</f>
        <v>0.73813254856967792</v>
      </c>
      <c r="K66" s="105">
        <f>(EPyG!K66/EPyG!K$9)*100</f>
        <v>0</v>
      </c>
    </row>
    <row r="67" spans="2:11" x14ac:dyDescent="0.2">
      <c r="B67" s="140">
        <f>+PYG!B84</f>
        <v>4507</v>
      </c>
      <c r="C67" s="140" t="str">
        <f>+PYG!C84</f>
        <v xml:space="preserve">        Otros gastos</v>
      </c>
      <c r="D67" s="141">
        <f>(EPyG!D67/EPyG!D$9)*100</f>
        <v>4.3377921098616889</v>
      </c>
      <c r="E67" s="104">
        <f>(EPyG!E67/EPyG!E$9)*100</f>
        <v>4.3377921098616889</v>
      </c>
      <c r="F67" s="104">
        <f>(EPyG!F67/EPyG!F$9)*100</f>
        <v>0.87121318877672349</v>
      </c>
      <c r="G67" s="104">
        <f>(EPyG!G67/EPyG!G$9)*100</f>
        <v>3.2280708801748927</v>
      </c>
      <c r="H67" s="104">
        <f>(EPyG!H67/EPyG!H$9)*100</f>
        <v>2.0238701533680432</v>
      </c>
      <c r="I67" s="104">
        <f>(EPyG!I67/EPyG!I$9)*100</f>
        <v>2.1659407977760763</v>
      </c>
      <c r="J67" s="104">
        <f>(EPyG!J67/EPyG!J$9)*100</f>
        <v>2.2774078143106369</v>
      </c>
      <c r="K67" s="105">
        <f>(EPyG!K67/EPyG!K$9)*100</f>
        <v>4.3385341458720399</v>
      </c>
    </row>
    <row r="68" spans="2:11" x14ac:dyDescent="0.2">
      <c r="B68" s="140"/>
      <c r="C68" s="140" t="str">
        <f>+PYG!C85</f>
        <v>MARGEN DE INTERMEDIACION</v>
      </c>
      <c r="D68" s="141">
        <f>(EPyG!D68/EPyG!D$9)*100</f>
        <v>-68.949084091580815</v>
      </c>
      <c r="E68" s="104">
        <f>(EPyG!E68/EPyG!E$9)*100</f>
        <v>-68.949084091580815</v>
      </c>
      <c r="F68" s="104">
        <f>(EPyG!F68/EPyG!F$9)*100</f>
        <v>63.238362288089611</v>
      </c>
      <c r="G68" s="104">
        <f>(EPyG!G68/EPyG!G$9)*100</f>
        <v>-26.386810996477333</v>
      </c>
      <c r="H68" s="104">
        <f>(EPyG!H68/EPyG!H$9)*100</f>
        <v>2.6888129219836965</v>
      </c>
      <c r="I68" s="104">
        <f>(EPyG!I68/EPyG!I$9)*100</f>
        <v>5.2425947542848848</v>
      </c>
      <c r="J68" s="104">
        <f>(EPyG!J68/EPyG!J$9)*100</f>
        <v>1.4348179296838581</v>
      </c>
      <c r="K68" s="105">
        <f>(EPyG!K68/EPyG!K$9)*100</f>
        <v>28.936269145000143</v>
      </c>
    </row>
    <row r="69" spans="2:11" x14ac:dyDescent="0.2">
      <c r="B69" s="140"/>
      <c r="C69" s="140"/>
      <c r="D69" s="141"/>
      <c r="E69" s="104"/>
      <c r="F69" s="104"/>
      <c r="G69" s="104"/>
      <c r="H69" s="104"/>
      <c r="I69" s="104"/>
      <c r="J69" s="104"/>
      <c r="K69" s="105"/>
    </row>
    <row r="70" spans="2:11" x14ac:dyDescent="0.2">
      <c r="B70" s="140">
        <f>+PYG!B87</f>
        <v>55</v>
      </c>
      <c r="C70" s="140" t="str">
        <f>+PYG!C87</f>
        <v>OTROS INGRESOS OPERACIONALES</v>
      </c>
      <c r="D70" s="141">
        <f>(EPyG!D70/EPyG!D$9)*100</f>
        <v>5.5516723327866107</v>
      </c>
      <c r="E70" s="104">
        <f>(EPyG!E70/EPyG!E$9)*100</f>
        <v>5.5516723327866107</v>
      </c>
      <c r="F70" s="104">
        <f>(EPyG!F70/EPyG!F$9)*100</f>
        <v>0</v>
      </c>
      <c r="G70" s="104">
        <f>(EPyG!G70/EPyG!G$9)*100</f>
        <v>5.2173665267952573E-4</v>
      </c>
      <c r="H70" s="104">
        <f>(EPyG!H70/EPyG!H$9)*100</f>
        <v>24.688299264538955</v>
      </c>
      <c r="I70" s="104">
        <f>(EPyG!I70/EPyG!I$9)*100</f>
        <v>12.93819951288121</v>
      </c>
      <c r="J70" s="104">
        <f>(EPyG!J70/EPyG!J$9)*100</f>
        <v>12.559097065704048</v>
      </c>
      <c r="K70" s="105">
        <f>(EPyG!K70/EPyG!K$9)*100</f>
        <v>0</v>
      </c>
    </row>
    <row r="71" spans="2:11" x14ac:dyDescent="0.2">
      <c r="B71" s="140">
        <f>+PYG!B88</f>
        <v>5502</v>
      </c>
      <c r="C71" s="140" t="str">
        <f>+PYG!C88</f>
        <v xml:space="preserve">        Utilidad en venta de bienes realizables y recuperados</v>
      </c>
      <c r="D71" s="141">
        <f>(EPyG!D71/EPyG!D$9)*100</f>
        <v>0.65848352588632997</v>
      </c>
      <c r="E71" s="104">
        <f>(EPyG!E71/EPyG!E$9)*100</f>
        <v>0.65848352588632997</v>
      </c>
      <c r="F71" s="104">
        <f>(EPyG!F71/EPyG!F$9)*100</f>
        <v>0</v>
      </c>
      <c r="G71" s="104">
        <f>(EPyG!G71/EPyG!G$9)*100</f>
        <v>0</v>
      </c>
      <c r="H71" s="104">
        <f>(EPyG!H71/EPyG!H$9)*100</f>
        <v>0</v>
      </c>
      <c r="I71" s="104">
        <f>(EPyG!I71/EPyG!I$9)*100</f>
        <v>0</v>
      </c>
      <c r="J71" s="104">
        <f>(EPyG!J71/EPyG!J$9)*100</f>
        <v>3.3795680974690046E-2</v>
      </c>
      <c r="K71" s="105">
        <f>(EPyG!K71/EPyG!K$9)*100</f>
        <v>0</v>
      </c>
    </row>
    <row r="72" spans="2:11" x14ac:dyDescent="0.2">
      <c r="B72" s="140">
        <f>+PYG!B89</f>
        <v>5590</v>
      </c>
      <c r="C72" s="140" t="str">
        <f>+PYG!C89</f>
        <v xml:space="preserve">        Otros</v>
      </c>
      <c r="D72" s="141">
        <f>(EPyG!D72/EPyG!D$9)*100</f>
        <v>0</v>
      </c>
      <c r="E72" s="104">
        <f>(EPyG!E72/EPyG!E$9)*100</f>
        <v>0</v>
      </c>
      <c r="F72" s="104">
        <f>(EPyG!F72/EPyG!F$9)*100</f>
        <v>0</v>
      </c>
      <c r="G72" s="104">
        <f>(EPyG!G72/EPyG!G$9)*100</f>
        <v>9.9841186261402249E-6</v>
      </c>
      <c r="H72" s="104">
        <f>(EPyG!H72/EPyG!H$9)*100</f>
        <v>0</v>
      </c>
      <c r="I72" s="104">
        <f>(EPyG!I72/EPyG!I$9)*100</f>
        <v>2.9258200615970839E-6</v>
      </c>
      <c r="J72" s="104">
        <f>(EPyG!J72/EPyG!J$9)*100</f>
        <v>2.775656727961685E-6</v>
      </c>
      <c r="K72" s="105">
        <f>(EPyG!K72/EPyG!K$9)*100</f>
        <v>0</v>
      </c>
    </row>
    <row r="73" spans="2:11" x14ac:dyDescent="0.2">
      <c r="B73" s="140">
        <f>+PYG!B90</f>
        <v>46</v>
      </c>
      <c r="C73" s="140" t="str">
        <f>+PYG!C90</f>
        <v>OTRAS PERDIDAS OPERACIONALES</v>
      </c>
      <c r="D73" s="141">
        <f>(EPyG!D73/EPyG!D$9)*100</f>
        <v>3.8863436882854483</v>
      </c>
      <c r="E73" s="104">
        <f>(EPyG!E73/EPyG!E$9)*100</f>
        <v>3.8863436882854483</v>
      </c>
      <c r="F73" s="104">
        <f>(EPyG!F73/EPyG!F$9)*100</f>
        <v>1.0221795710830224E-7</v>
      </c>
      <c r="G73" s="104">
        <f>(EPyG!G73/EPyG!G$9)*100</f>
        <v>1.6230317210852364E-2</v>
      </c>
      <c r="H73" s="104">
        <f>(EPyG!H73/EPyG!H$9)*100</f>
        <v>0.61397076758357816</v>
      </c>
      <c r="I73" s="104">
        <f>(EPyG!I73/EPyG!I$9)*100</f>
        <v>0.32651121774417741</v>
      </c>
      <c r="J73" s="104">
        <f>(EPyG!J73/EPyG!J$9)*100</f>
        <v>0.50921428891945142</v>
      </c>
      <c r="K73" s="105">
        <f>(EPyG!K73/EPyG!K$9)*100</f>
        <v>0</v>
      </c>
    </row>
    <row r="74" spans="2:11" x14ac:dyDescent="0.2">
      <c r="B74" s="140">
        <f>+PYG!B91</f>
        <v>4690</v>
      </c>
      <c r="C74" s="140" t="str">
        <f>+PYG!C91</f>
        <v xml:space="preserve">        Otras</v>
      </c>
      <c r="D74" s="141">
        <f>(EPyG!D74/EPyG!D$9)*100</f>
        <v>1.4663656353557232E-3</v>
      </c>
      <c r="E74" s="104">
        <f>(EPyG!E74/EPyG!E$9)*100</f>
        <v>1.4663656353557232E-3</v>
      </c>
      <c r="F74" s="104">
        <f>(EPyG!F74/EPyG!F$9)*100</f>
        <v>1.0221795710830224E-7</v>
      </c>
      <c r="G74" s="104">
        <f>(EPyG!G74/EPyG!G$9)*100</f>
        <v>1.6230317210852364E-2</v>
      </c>
      <c r="H74" s="104">
        <f>(EPyG!H74/EPyG!H$9)*100</f>
        <v>4.2642112151684294E-4</v>
      </c>
      <c r="I74" s="104">
        <f>(EPyG!I74/EPyG!I$9)*100</f>
        <v>4.9797395130596177E-3</v>
      </c>
      <c r="J74" s="104">
        <f>(EPyG!J74/EPyG!J$9)*100</f>
        <v>4.7994208595961638E-3</v>
      </c>
      <c r="K74" s="105">
        <f>(EPyG!K74/EPyG!K$9)*100</f>
        <v>0</v>
      </c>
    </row>
    <row r="75" spans="2:11" x14ac:dyDescent="0.2">
      <c r="B75" s="140"/>
      <c r="C75" s="140" t="str">
        <f>+PYG!C92</f>
        <v>MARGEN OPERACIONAL</v>
      </c>
      <c r="D75" s="141">
        <f>(EPyG!D75/EPyG!D$9)*100</f>
        <v>-67.283755447079656</v>
      </c>
      <c r="E75" s="104">
        <f>(EPyG!E75/EPyG!E$9)*100</f>
        <v>-67.283755447079656</v>
      </c>
      <c r="F75" s="104">
        <f>(EPyG!F75/EPyG!F$9)*100</f>
        <v>63.238362185871658</v>
      </c>
      <c r="G75" s="104">
        <f>(EPyG!G75/EPyG!G$9)*100</f>
        <v>-26.402519577035505</v>
      </c>
      <c r="H75" s="104">
        <f>(EPyG!H75/EPyG!H$9)*100</f>
        <v>26.763141418939075</v>
      </c>
      <c r="I75" s="104">
        <f>(EPyG!I75/EPyG!I$9)*100</f>
        <v>17.85428304942192</v>
      </c>
      <c r="J75" s="104">
        <f>(EPyG!J75/EPyG!J$9)*100</f>
        <v>13.484700706468455</v>
      </c>
      <c r="K75" s="105">
        <f>(EPyG!K75/EPyG!K$9)*100</f>
        <v>28.936269145000143</v>
      </c>
    </row>
    <row r="76" spans="2:11" x14ac:dyDescent="0.2">
      <c r="B76" s="140"/>
      <c r="C76" s="140"/>
      <c r="D76" s="141"/>
      <c r="E76" s="104"/>
      <c r="F76" s="104"/>
      <c r="G76" s="104"/>
      <c r="H76" s="104"/>
      <c r="I76" s="104"/>
      <c r="J76" s="104"/>
      <c r="K76" s="105"/>
    </row>
    <row r="77" spans="2:11" x14ac:dyDescent="0.2">
      <c r="B77" s="140">
        <f>+PYG!B94</f>
        <v>56</v>
      </c>
      <c r="C77" s="140" t="str">
        <f>+PYG!C94</f>
        <v>OTROS INGRESOS</v>
      </c>
      <c r="D77" s="141">
        <f>(EPyG!D77/EPyG!D$9)*100</f>
        <v>36.196817973094078</v>
      </c>
      <c r="E77" s="104">
        <f>(EPyG!E77/EPyG!E$9)*100</f>
        <v>36.196817973094078</v>
      </c>
      <c r="F77" s="104">
        <f>(EPyG!F77/EPyG!F$9)*100</f>
        <v>2.4843561852117961</v>
      </c>
      <c r="G77" s="104">
        <f>(EPyG!G77/EPyG!G$9)*100</f>
        <v>21.497518737429079</v>
      </c>
      <c r="H77" s="104">
        <f>(EPyG!H77/EPyG!H$9)*100</f>
        <v>17.006865901971761</v>
      </c>
      <c r="I77" s="104">
        <f>(EPyG!I77/EPyG!I$9)*100</f>
        <v>15.666719709156652</v>
      </c>
      <c r="J77" s="104">
        <f>(EPyG!J77/EPyG!J$9)*100</f>
        <v>16.720396261463957</v>
      </c>
      <c r="K77" s="105">
        <f>(EPyG!K77/EPyG!K$9)*100</f>
        <v>5.8116594261660675</v>
      </c>
    </row>
    <row r="78" spans="2:11" x14ac:dyDescent="0.2">
      <c r="B78" s="140">
        <f>+PYG!B95</f>
        <v>5602</v>
      </c>
      <c r="C78" s="140" t="str">
        <f>+PYG!C95</f>
        <v xml:space="preserve">        Utilidad en venta de acciones y participaciones</v>
      </c>
      <c r="D78" s="141">
        <f>(EPyG!D78/EPyG!D$9)*100</f>
        <v>0</v>
      </c>
      <c r="E78" s="104">
        <f>(EPyG!E78/EPyG!E$9)*100</f>
        <v>0</v>
      </c>
      <c r="F78" s="104">
        <f>(EPyG!F78/EPyG!F$9)*100</f>
        <v>0</v>
      </c>
      <c r="G78" s="104">
        <f>(EPyG!G78/EPyG!G$9)*100</f>
        <v>0</v>
      </c>
      <c r="H78" s="104">
        <f>(EPyG!H78/EPyG!H$9)*100</f>
        <v>9.4033351875030715E-4</v>
      </c>
      <c r="I78" s="104">
        <f>(EPyG!I78/EPyG!I$9)*100</f>
        <v>4.9278724196140963E-4</v>
      </c>
      <c r="J78" s="104">
        <f>(EPyG!J78/EPyG!J$9)*100</f>
        <v>4.6749567465103763E-4</v>
      </c>
      <c r="K78" s="105">
        <f>(EPyG!K78/EPyG!K$9)*100</f>
        <v>0</v>
      </c>
    </row>
    <row r="79" spans="2:11" x14ac:dyDescent="0.2">
      <c r="B79" s="140">
        <f>+PYG!B96</f>
        <v>5604</v>
      </c>
      <c r="C79" s="140" t="str">
        <f>+PYG!C96</f>
        <v xml:space="preserve">        Recuperaciones de activos financieros</v>
      </c>
      <c r="D79" s="141">
        <f>(EPyG!D79/EPyG!D$9)*100</f>
        <v>25.635310787617655</v>
      </c>
      <c r="E79" s="104">
        <f>(EPyG!E79/EPyG!E$9)*100</f>
        <v>25.635310787617655</v>
      </c>
      <c r="F79" s="104">
        <f>(EPyG!F79/EPyG!F$9)*100</f>
        <v>2.1120154021254542</v>
      </c>
      <c r="G79" s="104">
        <f>(EPyG!G79/EPyG!G$9)*100</f>
        <v>19.163572060124345</v>
      </c>
      <c r="H79" s="104">
        <f>(EPyG!H79/EPyG!H$9)*100</f>
        <v>16.262468747364181</v>
      </c>
      <c r="I79" s="104">
        <f>(EPyG!I79/EPyG!I$9)*100</f>
        <v>14.524557105362284</v>
      </c>
      <c r="J79" s="104">
        <f>(EPyG!J79/EPyG!J$9)*100</f>
        <v>15.094799901229411</v>
      </c>
      <c r="K79" s="105">
        <f>(EPyG!K79/EPyG!K$9)*100</f>
        <v>1.9195874353321583</v>
      </c>
    </row>
    <row r="80" spans="2:11" x14ac:dyDescent="0.2">
      <c r="B80" s="140">
        <f>+PYG!B97</f>
        <v>47</v>
      </c>
      <c r="C80" s="140" t="str">
        <f>+PYG!C97</f>
        <v>OTROS GASTOS Y PERDIDAS</v>
      </c>
      <c r="D80" s="141">
        <f>(EPyG!D80/EPyG!D$9)*100</f>
        <v>0.11600432364070237</v>
      </c>
      <c r="E80" s="104">
        <f>(EPyG!E80/EPyG!E$9)*100</f>
        <v>0.11600432364070237</v>
      </c>
      <c r="F80" s="104">
        <f>(EPyG!F80/EPyG!F$9)*100</f>
        <v>0.6699238840064361</v>
      </c>
      <c r="G80" s="104">
        <f>(EPyG!G80/EPyG!G$9)*100</f>
        <v>6.8082369349960032</v>
      </c>
      <c r="H80" s="104">
        <f>(EPyG!H80/EPyG!H$9)*100</f>
        <v>3.8888015267013687</v>
      </c>
      <c r="I80" s="104">
        <f>(EPyG!I80/EPyG!I$9)*100</f>
        <v>4.1556121228835492</v>
      </c>
      <c r="J80" s="104">
        <f>(EPyG!J80/EPyG!J$9)*100</f>
        <v>3.9482853013623567</v>
      </c>
      <c r="K80" s="105">
        <f>(EPyG!K80/EPyG!K$9)*100</f>
        <v>0.97858255525774784</v>
      </c>
    </row>
    <row r="81" spans="2:11" x14ac:dyDescent="0.2">
      <c r="B81" s="140">
        <f>+PYG!B98</f>
        <v>4703</v>
      </c>
      <c r="C81" s="140" t="str">
        <f>+PYG!C98</f>
        <v xml:space="preserve">        Intereses y comisiones devengados en ejercicios anteriores</v>
      </c>
      <c r="D81" s="141">
        <f>(EPyG!D81/EPyG!D$9)*100</f>
        <v>4.6283245269908057E-3</v>
      </c>
      <c r="E81" s="104">
        <f>(EPyG!E81/EPyG!E$9)*100</f>
        <v>4.6283245269908057E-3</v>
      </c>
      <c r="F81" s="104">
        <f>(EPyG!F81/EPyG!F$9)*100</f>
        <v>0</v>
      </c>
      <c r="G81" s="104">
        <f>(EPyG!G81/EPyG!G$9)*100</f>
        <v>5.9910944866554887</v>
      </c>
      <c r="H81" s="104">
        <f>(EPyG!H81/EPyG!H$9)*100</f>
        <v>2.9734634300495837</v>
      </c>
      <c r="I81" s="104">
        <f>(EPyG!I81/EPyG!I$9)*100</f>
        <v>3.3139354770246641</v>
      </c>
      <c r="J81" s="104">
        <f>(EPyG!J81/EPyG!J$9)*100</f>
        <v>3.1440902426696624</v>
      </c>
      <c r="K81" s="105">
        <f>(EPyG!K81/EPyG!K$9)*100</f>
        <v>0.97152702671800906</v>
      </c>
    </row>
    <row r="82" spans="2:11" x14ac:dyDescent="0.2">
      <c r="B82" s="140">
        <f>+PYG!B99</f>
        <v>4790</v>
      </c>
      <c r="C82" s="140" t="str">
        <f>+PYG!C99</f>
        <v xml:space="preserve">        Otros</v>
      </c>
      <c r="D82" s="141">
        <f>(EPyG!D82/EPyG!D$9)*100</f>
        <v>0.11137599911371157</v>
      </c>
      <c r="E82" s="104">
        <f>(EPyG!E82/EPyG!E$9)*100</f>
        <v>0.11137599911371157</v>
      </c>
      <c r="F82" s="104">
        <f>(EPyG!F82/EPyG!F$9)*100</f>
        <v>0.6699238840064361</v>
      </c>
      <c r="G82" s="104">
        <f>(EPyG!G82/EPyG!G$9)*100</f>
        <v>0.81559973720570644</v>
      </c>
      <c r="H82" s="104">
        <f>(EPyG!H82/EPyG!H$9)*100</f>
        <v>0.6241146779214829</v>
      </c>
      <c r="I82" s="104">
        <f>(EPyG!I82/EPyG!I$9)*100</f>
        <v>0.68860723435085247</v>
      </c>
      <c r="J82" s="104">
        <f>(EPyG!J82/EPyG!J$9)*100</f>
        <v>0.65898170552924262</v>
      </c>
      <c r="K82" s="105">
        <f>(EPyG!K82/EPyG!K$9)*100</f>
        <v>7.0555285397387547E-3</v>
      </c>
    </row>
    <row r="83" spans="2:11" x14ac:dyDescent="0.2">
      <c r="B83" s="140"/>
      <c r="C83" s="140" t="str">
        <f>+PYG!C100</f>
        <v>GANANCIA O (PERDIDA) ANTES DE IMPUESTOS</v>
      </c>
      <c r="D83" s="141">
        <f>(EPyG!D83/EPyG!D$9)*100</f>
        <v>-31.202941797626281</v>
      </c>
      <c r="E83" s="104">
        <f>(EPyG!E83/EPyG!E$9)*100</f>
        <v>-31.202941797626281</v>
      </c>
      <c r="F83" s="104">
        <f>(EPyG!F83/EPyG!F$9)*100</f>
        <v>65.052794487077009</v>
      </c>
      <c r="G83" s="104">
        <f>(EPyG!G83/EPyG!G$9)*100</f>
        <v>-11.713237774602431</v>
      </c>
      <c r="H83" s="104">
        <f>(EPyG!H83/EPyG!H$9)*100</f>
        <v>39.881205794209471</v>
      </c>
      <c r="I83" s="104">
        <f>(EPyG!I83/EPyG!I$9)*100</f>
        <v>29.365390635695022</v>
      </c>
      <c r="J83" s="104">
        <f>(EPyG!J83/EPyG!J$9)*100</f>
        <v>26.256811666570059</v>
      </c>
      <c r="K83" s="105">
        <f>(EPyG!K83/EPyG!K$9)*100</f>
        <v>33.769346015908461</v>
      </c>
    </row>
    <row r="84" spans="2:11" x14ac:dyDescent="0.2">
      <c r="B84" s="140"/>
      <c r="C84" s="140"/>
      <c r="D84" s="141"/>
      <c r="E84" s="104"/>
      <c r="F84" s="104"/>
      <c r="G84" s="104"/>
      <c r="H84" s="104"/>
      <c r="I84" s="104"/>
      <c r="J84" s="104"/>
      <c r="K84" s="105"/>
    </row>
    <row r="85" spans="2:11" x14ac:dyDescent="0.2">
      <c r="B85" s="140">
        <f>+PYG!B102</f>
        <v>48</v>
      </c>
      <c r="C85" s="140" t="str">
        <f>+PYG!C102</f>
        <v>IMPUESTOS Y PARTICIPACION A EMPLEADOS</v>
      </c>
      <c r="D85" s="141">
        <f>(EPyG!D85/EPyG!D$9)*100</f>
        <v>0</v>
      </c>
      <c r="E85" s="104">
        <f>(EPyG!E85/EPyG!E$9)*100</f>
        <v>0</v>
      </c>
      <c r="F85" s="104">
        <f>(EPyG!F85/EPyG!F$9)*100</f>
        <v>3.252639724353851</v>
      </c>
      <c r="G85" s="104">
        <f>(EPyG!G85/EPyG!G$9)*100</f>
        <v>0</v>
      </c>
      <c r="H85" s="104">
        <f>(EPyG!H85/EPyG!H$9)*100</f>
        <v>0</v>
      </c>
      <c r="I85" s="104">
        <f>(EPyG!I85/EPyG!I$9)*100</f>
        <v>0.59489735256301157</v>
      </c>
      <c r="J85" s="104">
        <f>(EPyG!J85/EPyG!J$9)*100</f>
        <v>0.56436513672231048</v>
      </c>
      <c r="K85" s="105">
        <f>(EPyG!K85/EPyG!K$9)*100</f>
        <v>0</v>
      </c>
    </row>
    <row r="86" spans="2:11" x14ac:dyDescent="0.2">
      <c r="B86" s="140"/>
      <c r="C86" s="140"/>
      <c r="D86" s="141"/>
      <c r="E86" s="104"/>
      <c r="F86" s="104"/>
      <c r="G86" s="104"/>
      <c r="H86" s="104"/>
      <c r="I86" s="104"/>
      <c r="J86" s="104"/>
      <c r="K86" s="105"/>
    </row>
    <row r="87" spans="2:11" x14ac:dyDescent="0.2">
      <c r="B87" s="142"/>
      <c r="C87" s="142" t="str">
        <f>+PYG!C104</f>
        <v>GANANCIA O (PERDIDA) DEL EJERCICIO</v>
      </c>
      <c r="D87" s="143">
        <f>(EPyG!D87/EPyG!D$9)*100</f>
        <v>-31.202941797626281</v>
      </c>
      <c r="E87" s="126">
        <f>(EPyG!E87/EPyG!E$9)*100</f>
        <v>-31.202941797626281</v>
      </c>
      <c r="F87" s="126">
        <f>(EPyG!F87/EPyG!F$9)*100</f>
        <v>61.800154762723167</v>
      </c>
      <c r="G87" s="126">
        <f>(EPyG!G87/EPyG!G$9)*100</f>
        <v>-11.713237774602431</v>
      </c>
      <c r="H87" s="126">
        <f>(EPyG!H87/EPyG!H$9)*100</f>
        <v>39.881205794209471</v>
      </c>
      <c r="I87" s="126">
        <f>(EPyG!I87/EPyG!I$9)*100</f>
        <v>28.770493283132009</v>
      </c>
      <c r="J87" s="126">
        <f>(EPyG!J87/EPyG!J$9)*100</f>
        <v>25.692446529847746</v>
      </c>
      <c r="K87" s="127">
        <f>(EPyG!K87/EPyG!K$9)*100</f>
        <v>33.769346015908461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0"/>
  <sheetViews>
    <sheetView showGridLines="0" zoomScale="75" zoomScaleNormal="75" workbookViewId="0">
      <pane xSplit="3" ySplit="8" topLeftCell="D9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4.25" x14ac:dyDescent="0.2"/>
  <cols>
    <col min="1" max="1" width="4.140625" style="11" customWidth="1"/>
    <col min="2" max="2" width="6.85546875" style="11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B1" s="144"/>
      <c r="C1" s="2"/>
      <c r="D1" s="145"/>
      <c r="E1" s="145"/>
      <c r="F1" s="145"/>
      <c r="G1" s="145"/>
      <c r="H1" s="146"/>
      <c r="I1" s="145"/>
      <c r="J1" s="145"/>
      <c r="K1" s="145"/>
    </row>
    <row r="2" spans="1:11" s="3" customFormat="1" ht="15" x14ac:dyDescent="0.25">
      <c r="B2" s="144"/>
      <c r="C2" s="147" t="s">
        <v>784</v>
      </c>
      <c r="D2" s="145"/>
      <c r="E2" s="148"/>
      <c r="F2" s="145"/>
      <c r="G2" s="145"/>
      <c r="H2" s="146"/>
      <c r="I2" s="145"/>
      <c r="J2" s="145"/>
      <c r="K2" s="145"/>
    </row>
    <row r="3" spans="1:11" s="3" customFormat="1" ht="15" x14ac:dyDescent="0.25">
      <c r="B3" s="144"/>
      <c r="C3" s="147" t="str">
        <f>BALANCE!B3</f>
        <v>SISTEMA DE BANCA PUBLICA</v>
      </c>
      <c r="D3" s="145"/>
      <c r="E3" s="145"/>
      <c r="F3" s="145"/>
      <c r="G3" s="145"/>
      <c r="H3" s="146"/>
      <c r="I3" s="145"/>
      <c r="J3" s="145"/>
      <c r="K3" s="145"/>
    </row>
    <row r="4" spans="1:11" s="3" customFormat="1" ht="15" x14ac:dyDescent="0.25">
      <c r="B4" s="144"/>
      <c r="C4" s="149">
        <f>BALANCE!B4</f>
        <v>41182</v>
      </c>
      <c r="D4" s="145"/>
      <c r="E4" s="145"/>
      <c r="F4" s="145"/>
      <c r="G4" s="145"/>
      <c r="H4" s="146"/>
      <c r="I4" s="145"/>
      <c r="J4" s="145"/>
      <c r="K4" s="145"/>
    </row>
    <row r="5" spans="1:11" s="3" customFormat="1" ht="15" x14ac:dyDescent="0.25">
      <c r="B5" s="144"/>
      <c r="C5" s="147" t="s">
        <v>782</v>
      </c>
      <c r="D5" s="145"/>
      <c r="E5" s="145"/>
      <c r="F5" s="145"/>
      <c r="G5" s="145"/>
      <c r="H5" s="146"/>
      <c r="I5" s="145"/>
      <c r="J5" s="145"/>
      <c r="K5" s="145"/>
    </row>
    <row r="6" spans="1:11" s="3" customFormat="1" x14ac:dyDescent="0.2">
      <c r="B6" s="144"/>
      <c r="C6" s="2"/>
      <c r="D6" s="145"/>
      <c r="E6" s="145"/>
      <c r="F6" s="145"/>
      <c r="G6" s="145"/>
      <c r="H6" s="146"/>
      <c r="I6" s="145"/>
      <c r="J6" s="145"/>
      <c r="K6" s="145"/>
    </row>
    <row r="7" spans="1:11" s="3" customFormat="1" x14ac:dyDescent="0.2">
      <c r="B7" s="144"/>
      <c r="C7" s="2"/>
      <c r="D7" s="145"/>
      <c r="E7" s="145"/>
      <c r="F7" s="145"/>
      <c r="G7" s="145"/>
      <c r="H7" s="146"/>
      <c r="I7" s="145"/>
      <c r="J7" s="145"/>
      <c r="K7" s="145"/>
    </row>
    <row r="8" spans="1:11" s="19" customFormat="1" ht="45" x14ac:dyDescent="0.25">
      <c r="A8" s="150">
        <v>1</v>
      </c>
      <c r="B8" s="151" t="s">
        <v>785</v>
      </c>
      <c r="C8" s="16" t="s">
        <v>786</v>
      </c>
      <c r="D8" s="18" t="s">
        <v>5</v>
      </c>
      <c r="E8" s="18" t="s">
        <v>6</v>
      </c>
      <c r="F8" s="18" t="s">
        <v>7</v>
      </c>
      <c r="G8" s="18" t="s">
        <v>8</v>
      </c>
      <c r="H8" s="18" t="s">
        <v>9</v>
      </c>
      <c r="I8" s="18" t="s">
        <v>10</v>
      </c>
      <c r="J8" s="18" t="s">
        <v>11</v>
      </c>
      <c r="K8" s="58" t="s">
        <v>12</v>
      </c>
    </row>
    <row r="9" spans="1:11" x14ac:dyDescent="0.2">
      <c r="C9" s="152"/>
    </row>
    <row r="10" spans="1:11" ht="15" x14ac:dyDescent="0.25">
      <c r="C10" s="153" t="s">
        <v>787</v>
      </c>
    </row>
    <row r="11" spans="1:11" ht="16.5" x14ac:dyDescent="0.2">
      <c r="C11" s="154" t="s">
        <v>788</v>
      </c>
      <c r="D11" s="155">
        <f>IF(BALANCE!$C$6=12,(BALANCE!D1214/BALANCE!D1179),(BALANCE!D1216/BALANCE!D1179))*100</f>
        <v>357.38032405214295</v>
      </c>
      <c r="E11" s="155">
        <f>IF(BALANCE!$C$6=12,(BALANCE!E1214/BALANCE!E1179),(BALANCE!E1216/BALANCE!E1179))*100</f>
        <v>357.38032405214295</v>
      </c>
      <c r="F11" s="155">
        <f>IF(BALANCE!$C$6=12,(BALANCE!F1214/BALANCE!F1179),(BALANCE!F1216/BALANCE!F1179))*100</f>
        <v>596.63381376728614</v>
      </c>
      <c r="G11" s="155">
        <f>IF(BALANCE!$C$6=12,(BALANCE!G1214/BALANCE!G1179),(BALANCE!G1216/BALANCE!G1179))*100</f>
        <v>127.91498231109432</v>
      </c>
      <c r="H11" s="155">
        <f>IF(BALANCE!$C$6=12,(BALANCE!H1214/BALANCE!H1179),(BALANCE!H1216/BALANCE!H1179))*100</f>
        <v>568.35051004282889</v>
      </c>
      <c r="I11" s="155">
        <f>IF(BALANCE!$C$6=12,(BALANCE!I1214/BALANCE!I1179),(BALANCE!I1216/BALANCE!I1179))*100</f>
        <v>318.12528189704938</v>
      </c>
      <c r="J11" s="155">
        <f>IF(BALANCE!$C$6=12,(BALANCE!J1214/BALANCE!J1179),(BALANCE!J1216/BALANCE!J1179))*100</f>
        <v>319.60778349487919</v>
      </c>
      <c r="K11" s="155">
        <f>IF(BALANCE!$C$6=12,(BALANCE!K1214/BALANCE!K1179),(BALANCE!K1216/BALANCE!K1179))*100</f>
        <v>1293.381392014338</v>
      </c>
    </row>
    <row r="12" spans="1:11" x14ac:dyDescent="0.2">
      <c r="C12" s="154"/>
    </row>
    <row r="13" spans="1:11" ht="15" x14ac:dyDescent="0.25">
      <c r="C13" s="153" t="s">
        <v>789</v>
      </c>
    </row>
    <row r="14" spans="1:11" x14ac:dyDescent="0.2">
      <c r="C14" s="154" t="s">
        <v>790</v>
      </c>
      <c r="D14" s="155">
        <f>+(BALANCE!D1171/BALANCE!D617)*100</f>
        <v>16.051180452035474</v>
      </c>
      <c r="E14" s="155">
        <f>+(BALANCE!E1171/BALANCE!E617)*100</f>
        <v>16.051180452035474</v>
      </c>
      <c r="F14" s="155">
        <f>+(BALANCE!F1171/BALANCE!F617)*100</f>
        <v>5.4513053834172123</v>
      </c>
      <c r="G14" s="155">
        <f>+(BALANCE!G1171/BALANCE!G617)*100</f>
        <v>27.063082934927607</v>
      </c>
      <c r="H14" s="155">
        <f>+(BALANCE!H1171/BALANCE!H617)*100</f>
        <v>7.3285202789617836</v>
      </c>
      <c r="I14" s="155">
        <f>+(BALANCE!I1171/BALANCE!I617)*100</f>
        <v>12.661714510991882</v>
      </c>
      <c r="J14" s="155">
        <f>+(BALANCE!J1171/BALANCE!J617)*100</f>
        <v>12.825612300344263</v>
      </c>
      <c r="K14" s="155">
        <f>+(BALANCE!K1171/BALANCE!K617)*100</f>
        <v>6.9700646668429025</v>
      </c>
    </row>
    <row r="15" spans="1:11" x14ac:dyDescent="0.2">
      <c r="C15" s="154" t="s">
        <v>791</v>
      </c>
      <c r="D15" s="155">
        <f>(BALANCE!D1237/BALANCE!D617)*100</f>
        <v>83.948819547964533</v>
      </c>
      <c r="E15" s="155">
        <f>(BALANCE!E1237/BALANCE!E617)*100</f>
        <v>83.948819547964533</v>
      </c>
      <c r="F15" s="155">
        <f>(BALANCE!F1237/BALANCE!F617)*100</f>
        <v>94.548694616582793</v>
      </c>
      <c r="G15" s="155">
        <f>(BALANCE!G1237/BALANCE!G617)*100</f>
        <v>72.936917065072379</v>
      </c>
      <c r="H15" s="155">
        <f>(BALANCE!H1237/BALANCE!H617)*100</f>
        <v>92.671479721038224</v>
      </c>
      <c r="I15" s="155">
        <f>(BALANCE!I1237/BALANCE!I617)*100</f>
        <v>87.338285489008129</v>
      </c>
      <c r="J15" s="155">
        <f>(BALANCE!J1237/BALANCE!J617)*100</f>
        <v>87.174387699655767</v>
      </c>
      <c r="K15" s="155">
        <f>(BALANCE!K1237/BALANCE!K617)*100</f>
        <v>93.029935333157098</v>
      </c>
    </row>
    <row r="16" spans="1:11" x14ac:dyDescent="0.2">
      <c r="C16" s="154" t="s">
        <v>792</v>
      </c>
      <c r="D16" s="155">
        <f>(BALANCE!D1237/BALANCE!D1203)*100</f>
        <v>126.74028651171632</v>
      </c>
      <c r="E16" s="155">
        <f>(BALANCE!E1237/BALANCE!E1203)*100</f>
        <v>126.74028651171632</v>
      </c>
      <c r="F16" s="155">
        <f>(BALANCE!F1237/BALANCE!F1203)*100</f>
        <v>162.07561197794567</v>
      </c>
      <c r="G16" s="155">
        <f>(BALANCE!G1237/BALANCE!G1203)*100</f>
        <v>111.96906150001402</v>
      </c>
      <c r="H16" s="155">
        <f>(BALANCE!H1237/BALANCE!H1203)*100</f>
        <v>160.95654584882723</v>
      </c>
      <c r="I16" s="155">
        <f>(BALANCE!I1237/BALANCE!I1203)*100</f>
        <v>145.51998700234992</v>
      </c>
      <c r="J16" s="155">
        <f>(BALANCE!J1237/BALANCE!J1203)*100</f>
        <v>144.52279716193331</v>
      </c>
      <c r="K16" s="155">
        <f>(BALANCE!K1237/BALANCE!K1203)*100</f>
        <v>1166.1463946710905</v>
      </c>
    </row>
    <row r="17" spans="3:11" x14ac:dyDescent="0.2">
      <c r="C17" s="154"/>
    </row>
    <row r="18" spans="3:11" ht="15" x14ac:dyDescent="0.25">
      <c r="C18" s="153" t="s">
        <v>793</v>
      </c>
    </row>
    <row r="19" spans="3:11" x14ac:dyDescent="0.2">
      <c r="C19" s="154" t="s">
        <v>794</v>
      </c>
      <c r="D19" s="71">
        <f>'CART X PLAZOS'!D137</f>
        <v>13.057851429823931</v>
      </c>
      <c r="E19" s="71">
        <f>'CART X PLAZOS'!E137</f>
        <v>13.057851429823931</v>
      </c>
      <c r="F19" s="71">
        <f>'CART X PLAZOS'!F137</f>
        <v>0</v>
      </c>
      <c r="G19" s="71">
        <f>'CART X PLAZOS'!G137</f>
        <v>20.277613432515455</v>
      </c>
      <c r="H19" s="71">
        <f>'CART X PLAZOS'!H137</f>
        <v>5.9645699494470152</v>
      </c>
      <c r="I19" s="71">
        <f>'CART X PLAZOS'!I137</f>
        <v>10.964379892502722</v>
      </c>
      <c r="J19" s="71">
        <f>'CART X PLAZOS'!J137</f>
        <v>11.147662397592468</v>
      </c>
      <c r="K19" s="71">
        <f>'CART X PLAZOS'!K137</f>
        <v>0</v>
      </c>
    </row>
    <row r="20" spans="3:11" x14ac:dyDescent="0.2">
      <c r="C20" s="154" t="s">
        <v>795</v>
      </c>
      <c r="D20" s="71">
        <f>+'CART X PLAZOS'!D144</f>
        <v>0</v>
      </c>
      <c r="E20" s="71">
        <f>+'CART X PLAZOS'!E144</f>
        <v>0</v>
      </c>
      <c r="F20" s="71">
        <f>+'CART X PLAZOS'!F144</f>
        <v>0</v>
      </c>
      <c r="G20" s="71">
        <f>+'CART X PLAZOS'!G144</f>
        <v>17.469108346236332</v>
      </c>
      <c r="H20" s="71">
        <f>+'CART X PLAZOS'!H144</f>
        <v>0</v>
      </c>
      <c r="I20" s="71">
        <f>+'CART X PLAZOS'!I144</f>
        <v>17.469108346236332</v>
      </c>
      <c r="J20" s="71">
        <f>+'CART X PLAZOS'!J144</f>
        <v>17.469108346236332</v>
      </c>
      <c r="K20" s="71">
        <f>+'CART X PLAZOS'!K144</f>
        <v>0</v>
      </c>
    </row>
    <row r="21" spans="3:11" x14ac:dyDescent="0.2">
      <c r="C21" s="154" t="s">
        <v>796</v>
      </c>
      <c r="D21" s="71">
        <f>+'CART X PLAZOS'!D151</f>
        <v>5.5324293993122913</v>
      </c>
      <c r="E21" s="71">
        <f>+'CART X PLAZOS'!E151</f>
        <v>5.5324293993122913</v>
      </c>
      <c r="F21" s="71">
        <f>+'CART X PLAZOS'!F151</f>
        <v>0</v>
      </c>
      <c r="G21" s="71">
        <f>+'CART X PLAZOS'!G151</f>
        <v>0</v>
      </c>
      <c r="H21" s="71">
        <f>+'CART X PLAZOS'!H151</f>
        <v>0</v>
      </c>
      <c r="I21" s="71">
        <f>+'CART X PLAZOS'!I151</f>
        <v>0</v>
      </c>
      <c r="J21" s="71">
        <f>+'CART X PLAZOS'!J151</f>
        <v>5.5324293993122913</v>
      </c>
      <c r="K21" s="71">
        <f>+'CART X PLAZOS'!K151</f>
        <v>0</v>
      </c>
    </row>
    <row r="22" spans="3:11" x14ac:dyDescent="0.2">
      <c r="C22" s="154" t="s">
        <v>797</v>
      </c>
      <c r="D22" s="71">
        <f>+'CART X PLAZOS'!D158</f>
        <v>0</v>
      </c>
      <c r="E22" s="71">
        <f>+'CART X PLAZOS'!E158</f>
        <v>0</v>
      </c>
      <c r="F22" s="71">
        <f>+'CART X PLAZOS'!F158</f>
        <v>0</v>
      </c>
      <c r="G22" s="71">
        <f>+'CART X PLAZOS'!G158</f>
        <v>5.9996181404584128</v>
      </c>
      <c r="H22" s="71">
        <f>+'CART X PLAZOS'!H158</f>
        <v>14.992717665401544</v>
      </c>
      <c r="I22" s="71">
        <f>+'CART X PLAZOS'!I158</f>
        <v>6.9477599215578323</v>
      </c>
      <c r="J22" s="71">
        <f>+'CART X PLAZOS'!J158</f>
        <v>6.9477599215578323</v>
      </c>
      <c r="K22" s="71">
        <f>+'CART X PLAZOS'!K158</f>
        <v>0</v>
      </c>
    </row>
    <row r="23" spans="3:11" x14ac:dyDescent="0.2">
      <c r="C23" s="154" t="s">
        <v>798</v>
      </c>
      <c r="D23" s="71">
        <f>+'CART X PLAZOS'!D165</f>
        <v>0</v>
      </c>
      <c r="E23" s="71">
        <f>+'CART X PLAZOS'!E165</f>
        <v>0</v>
      </c>
      <c r="F23" s="71">
        <f>+'CART X PLAZOS'!F165</f>
        <v>0</v>
      </c>
      <c r="G23" s="71">
        <f>+'CART X PLAZOS'!G165</f>
        <v>0</v>
      </c>
      <c r="H23" s="71">
        <f>+'CART X PLAZOS'!H165</f>
        <v>0</v>
      </c>
      <c r="I23" s="71">
        <f>+'CART X PLAZOS'!I165</f>
        <v>0</v>
      </c>
      <c r="J23" s="71">
        <f>+'CART X PLAZOS'!J165</f>
        <v>0</v>
      </c>
      <c r="K23" s="71">
        <f>+'CART X PLAZOS'!K165</f>
        <v>10.512622172080533</v>
      </c>
    </row>
    <row r="24" spans="3:11" x14ac:dyDescent="0.2">
      <c r="C24" s="154" t="s">
        <v>799</v>
      </c>
      <c r="D24" s="71">
        <f>+'CART X PLAZOS'!D172</f>
        <v>0</v>
      </c>
      <c r="E24" s="71">
        <f>+'CART X PLAZOS'!E172</f>
        <v>0</v>
      </c>
      <c r="F24" s="71">
        <f>+'CART X PLAZOS'!F172</f>
        <v>2.2224091664018432E-2</v>
      </c>
      <c r="G24" s="71">
        <f>+'CART X PLAZOS'!G172</f>
        <v>0</v>
      </c>
      <c r="H24" s="71">
        <f>+'CART X PLAZOS'!H172</f>
        <v>0</v>
      </c>
      <c r="I24" s="71">
        <f>+'CART X PLAZOS'!I172</f>
        <v>2.2224091664018432E-2</v>
      </c>
      <c r="J24" s="71">
        <f>+'CART X PLAZOS'!J172</f>
        <v>2.2224091664018432E-2</v>
      </c>
      <c r="K24" s="71">
        <f>+'CART X PLAZOS'!K172</f>
        <v>0</v>
      </c>
    </row>
    <row r="25" spans="3:11" x14ac:dyDescent="0.2">
      <c r="C25" s="154" t="s">
        <v>800</v>
      </c>
      <c r="D25" s="155">
        <f>IF('COMPOS CART'!D95=0,0,('COMPOS CART'!D87/'COMPOS CART'!D95))*100</f>
        <v>12.390885161332335</v>
      </c>
      <c r="E25" s="155">
        <f>IF('COMPOS CART'!E95=0,0,('COMPOS CART'!E87/'COMPOS CART'!E95))*100</f>
        <v>12.390885161332335</v>
      </c>
      <c r="F25" s="155">
        <f>IF('COMPOS CART'!F95=0,0,('COMPOS CART'!F87/'COMPOS CART'!F95))*100</f>
        <v>2.2224091664018435E-2</v>
      </c>
      <c r="G25" s="155">
        <f>IF('COMPOS CART'!G95=0,0,('COMPOS CART'!G87/'COMPOS CART'!G95))*100</f>
        <v>16.057986754572891</v>
      </c>
      <c r="H25" s="155">
        <f>IF('COMPOS CART'!H95=0,0,('COMPOS CART'!H87/'COMPOS CART'!H95))*100</f>
        <v>6.2019737260244785</v>
      </c>
      <c r="I25" s="155">
        <f>IF('COMPOS CART'!I95=0,0,('COMPOS CART'!I87/'COMPOS CART'!I95))*100</f>
        <v>7.2628798103303946</v>
      </c>
      <c r="J25" s="155">
        <f>IF('COMPOS CART'!J95=0,0,('COMPOS CART'!J87/'COMPOS CART'!J95))*100</f>
        <v>7.5595449898895897</v>
      </c>
      <c r="K25" s="155">
        <f>IF('COMPOS CART'!K95=0,0,('COMPOS CART'!K87/'COMPOS CART'!K95))*100</f>
        <v>10.512622172080533</v>
      </c>
    </row>
    <row r="26" spans="3:11" x14ac:dyDescent="0.2">
      <c r="C26" s="154"/>
    </row>
    <row r="27" spans="3:11" ht="15" x14ac:dyDescent="0.25">
      <c r="C27" s="153" t="s">
        <v>801</v>
      </c>
    </row>
    <row r="28" spans="3:11" x14ac:dyDescent="0.2">
      <c r="C28" s="154" t="s">
        <v>802</v>
      </c>
      <c r="D28" s="155">
        <f>IF('COMPOS CART'!D81=0,0,((-BALANCE!D415+BALANCE!D1069+BALANCE!D1075+BALANCE!D1081)/'COMPOS CART'!D81))*100</f>
        <v>58.82636487420713</v>
      </c>
      <c r="E28" s="155">
        <f>IF('COMPOS CART'!E81=0,0,((-BALANCE!E415+BALANCE!E1069+BALANCE!E1075+BALANCE!E1081)/'COMPOS CART'!E81))*100</f>
        <v>58.82636487420713</v>
      </c>
      <c r="F28" s="155">
        <f>IF('COMPOS CART'!F81=0,0,((-BALANCE!F415+BALANCE!F1069+BALANCE!F1075+BALANCE!F1081)/'COMPOS CART'!F81))*100</f>
        <v>0</v>
      </c>
      <c r="G28" s="155">
        <f>IF('COMPOS CART'!G81=0,0,((-BALANCE!G415+BALANCE!G1069+BALANCE!G1075+BALANCE!G1081)/'COMPOS CART'!G81))*100</f>
        <v>73.804462984919908</v>
      </c>
      <c r="H28" s="155">
        <f>IF('COMPOS CART'!H81=0,0,((-BALANCE!H415+BALANCE!H1069+BALANCE!H1075+BALANCE!H1081)/'COMPOS CART'!H81))*100</f>
        <v>103.8791117301034</v>
      </c>
      <c r="I28" s="155">
        <f>IF('COMPOS CART'!I81=0,0,((-BALANCE!I415+BALANCE!I1069+BALANCE!I1075+BALANCE!I1081)/'COMPOS CART'!I81))*100</f>
        <v>84.44991552758384</v>
      </c>
      <c r="J28" s="155">
        <f>IF('COMPOS CART'!J81=0,0,((-BALANCE!J415+BALANCE!J1069+BALANCE!J1075+BALANCE!J1081)/'COMPOS CART'!J81))*100</f>
        <v>81.822182883038323</v>
      </c>
      <c r="K28" s="155">
        <f>IF('COMPOS CART'!K81=0,0,((-BALANCE!K415+BALANCE!K1069+BALANCE!K1075+BALANCE!K1081)/'COMPOS CART'!K81))*100</f>
        <v>0</v>
      </c>
    </row>
    <row r="29" spans="3:11" x14ac:dyDescent="0.2">
      <c r="C29" s="154" t="s">
        <v>803</v>
      </c>
      <c r="D29" s="155">
        <f>IF('COMPOS CART'!D82=0,0,((-BALANCE!D416+BALANCE!D1070+BALANCE!D1076+BALANCE!D1082)/'COMPOS CART'!D82))*100</f>
        <v>0</v>
      </c>
      <c r="E29" s="155">
        <f>IF('COMPOS CART'!E82=0,0,((-BALANCE!E416+BALANCE!E1070+BALANCE!E1076+BALANCE!E1082)/'COMPOS CART'!E82))*100</f>
        <v>0</v>
      </c>
      <c r="F29" s="155">
        <f>IF('COMPOS CART'!F82=0,0,((-BALANCE!F416+BALANCE!F1070+BALANCE!F1076+BALANCE!F1082)/'COMPOS CART'!F82))*100</f>
        <v>0</v>
      </c>
      <c r="G29" s="155">
        <f>IF('COMPOS CART'!G82=0,0,((-BALANCE!G416+BALANCE!G1070+BALANCE!G1076+BALANCE!G1082)/'COMPOS CART'!G82))*100</f>
        <v>57.747788807867053</v>
      </c>
      <c r="H29" s="155">
        <f>IF('COMPOS CART'!H82=0,0,((-BALANCE!H416+BALANCE!H1070+BALANCE!H1076+BALANCE!H1082)/'COMPOS CART'!H82))*100</f>
        <v>0</v>
      </c>
      <c r="I29" s="155">
        <f>IF('COMPOS CART'!I82=0,0,((-BALANCE!I416+BALANCE!I1070+BALANCE!I1076+BALANCE!I1082)/'COMPOS CART'!I82))*100</f>
        <v>57.747788807867053</v>
      </c>
      <c r="J29" s="155">
        <f>IF('COMPOS CART'!J82=0,0,((-BALANCE!J416+BALANCE!J1070+BALANCE!J1076+BALANCE!J1082)/'COMPOS CART'!J82))*100</f>
        <v>57.747788807867053</v>
      </c>
      <c r="K29" s="155">
        <f>IF('COMPOS CART'!K82=0,0,((-BALANCE!K416+BALANCE!K1070+BALANCE!K1076+BALANCE!K1082)/'COMPOS CART'!K82))*100</f>
        <v>0</v>
      </c>
    </row>
    <row r="30" spans="3:11" x14ac:dyDescent="0.2">
      <c r="C30" s="154" t="s">
        <v>804</v>
      </c>
      <c r="D30" s="155">
        <f>IF('COMPOS CART'!D83=0,0,((-BALANCE!D417+BALANCE!D1071+BALANCE!D1077+BALANCE!D1083)/'COMPOS CART'!D83))*100</f>
        <v>364.83905810886307</v>
      </c>
      <c r="E30" s="155">
        <f>IF('COMPOS CART'!E83=0,0,((-BALANCE!E417+BALANCE!E1071+BALANCE!E1077+BALANCE!E1083)/'COMPOS CART'!E83))*100</f>
        <v>364.83905810886307</v>
      </c>
      <c r="F30" s="155">
        <f>IF('COMPOS CART'!F83=0,0,((-BALANCE!F417+BALANCE!F1071+BALANCE!F1077+BALANCE!F1083)/'COMPOS CART'!F83))*100</f>
        <v>0</v>
      </c>
      <c r="G30" s="155">
        <f>IF('COMPOS CART'!G83=0,0,((-BALANCE!G417+BALANCE!G1071+BALANCE!G1077+BALANCE!G1083)/'COMPOS CART'!G83))*100</f>
        <v>0</v>
      </c>
      <c r="H30" s="155">
        <f>IF('COMPOS CART'!H83=0,0,((-BALANCE!H417+BALANCE!H1071+BALANCE!H1077+BALANCE!H1083)/'COMPOS CART'!H83))*100</f>
        <v>0</v>
      </c>
      <c r="I30" s="155">
        <f>IF('COMPOS CART'!I83=0,0,((-BALANCE!I417+BALANCE!I1071+BALANCE!I1077+BALANCE!I1083)/'COMPOS CART'!I83))*100</f>
        <v>0</v>
      </c>
      <c r="J30" s="155">
        <f>IF('COMPOS CART'!J83=0,0,((-BALANCE!J417+BALANCE!J1071+BALANCE!J1077+BALANCE!J1083)/'COMPOS CART'!J83))*100</f>
        <v>364.83905810886307</v>
      </c>
      <c r="K30" s="155">
        <f>IF('COMPOS CART'!K83=0,0,((-BALANCE!K417+BALANCE!K1071+BALANCE!K1077+BALANCE!K1083)/'COMPOS CART'!K83))*100</f>
        <v>0</v>
      </c>
    </row>
    <row r="31" spans="3:11" x14ac:dyDescent="0.2">
      <c r="C31" s="154" t="s">
        <v>805</v>
      </c>
      <c r="D31" s="155">
        <f>IF('COMPOS CART'!D84=0,0,((-BALANCE!D418+BALANCE!D1072+BALANCE!D1078+BALANCE!D1084)/'COMPOS CART'!D84))*100</f>
        <v>0</v>
      </c>
      <c r="E31" s="155">
        <f>IF('COMPOS CART'!E84=0,0,((-BALANCE!E418+BALANCE!E1072+BALANCE!E1078+BALANCE!E1084)/'COMPOS CART'!E84))*100</f>
        <v>0</v>
      </c>
      <c r="F31" s="155">
        <f>IF('COMPOS CART'!F84=0,0,((-BALANCE!F418+BALANCE!F1072+BALANCE!F1078+BALANCE!F1084)/'COMPOS CART'!F84))*100</f>
        <v>0</v>
      </c>
      <c r="G31" s="155">
        <f>IF('COMPOS CART'!G84=0,0,((-BALANCE!G418+BALANCE!G1072+BALANCE!G1078+BALANCE!G1084)/'COMPOS CART'!G84))*100</f>
        <v>56.461220469242079</v>
      </c>
      <c r="H31" s="155">
        <f>IF('COMPOS CART'!H84=0,0,((-BALANCE!H418+BALANCE!H1072+BALANCE!H1078+BALANCE!H1084)/'COMPOS CART'!H84))*100</f>
        <v>52.926342315735774</v>
      </c>
      <c r="I31" s="155">
        <f>IF('COMPOS CART'!I84=0,0,((-BALANCE!I418+BALANCE!I1072+BALANCE!I1078+BALANCE!I1084)/'COMPOS CART'!I84))*100</f>
        <v>55.657002277111445</v>
      </c>
      <c r="J31" s="155">
        <f>IF('COMPOS CART'!J84=0,0,((-BALANCE!J418+BALANCE!J1072+BALANCE!J1078+BALANCE!J1084)/'COMPOS CART'!J84))*100</f>
        <v>55.657002277111445</v>
      </c>
      <c r="K31" s="155">
        <f>IF('COMPOS CART'!K84=0,0,((-BALANCE!K418+BALANCE!K1072+BALANCE!K1078+BALANCE!K1084)/'COMPOS CART'!K84))*100</f>
        <v>0</v>
      </c>
    </row>
    <row r="32" spans="3:11" x14ac:dyDescent="0.2">
      <c r="C32" s="154" t="s">
        <v>806</v>
      </c>
      <c r="D32" s="155">
        <f>IF('COMPOS CART'!D85=0,0,((-BALANCE!D419+BALANCE!D1073+BALANCE!D1079+BALANCE!D1085)/'COMPOS CART'!D85))*100</f>
        <v>0</v>
      </c>
      <c r="E32" s="155">
        <f>IF('COMPOS CART'!E85=0,0,((-BALANCE!E419+BALANCE!E1073+BALANCE!E1079+BALANCE!E1085)/'COMPOS CART'!E85))*100</f>
        <v>0</v>
      </c>
      <c r="F32" s="155">
        <f>IF('COMPOS CART'!F85=0,0,((-BALANCE!F419+BALANCE!F1073+BALANCE!F1079+BALANCE!F1085)/'COMPOS CART'!F85))*100</f>
        <v>0</v>
      </c>
      <c r="G32" s="155">
        <f>IF('COMPOS CART'!G85=0,0,((-BALANCE!G419+BALANCE!G1073+BALANCE!G1079+BALANCE!G1085)/'COMPOS CART'!G85))*100</f>
        <v>0</v>
      </c>
      <c r="H32" s="155">
        <f>IF('COMPOS CART'!H85=0,0,((-BALANCE!H419+BALANCE!H1073+BALANCE!H1079+BALANCE!H1085)/'COMPOS CART'!H85))*100</f>
        <v>0</v>
      </c>
      <c r="I32" s="155">
        <f>IF('COMPOS CART'!I85=0,0,((-BALANCE!I419+BALANCE!I1073+BALANCE!I1079+BALANCE!I1085)/'COMPOS CART'!I85))*100</f>
        <v>0</v>
      </c>
      <c r="J32" s="155">
        <f>IF('COMPOS CART'!J85=0,0,((-BALANCE!J419+BALANCE!J1073+BALANCE!J1079+BALANCE!J1085)/'COMPOS CART'!J85))*100</f>
        <v>0</v>
      </c>
      <c r="K32" s="155">
        <f>IF('COMPOS CART'!K85=0,0,((-BALANCE!K419+BALANCE!K1073+BALANCE!K1079+BALANCE!K1085)/'COMPOS CART'!K85))*100</f>
        <v>47.916749736937142</v>
      </c>
    </row>
    <row r="33" spans="3:11" x14ac:dyDescent="0.2">
      <c r="C33" s="154" t="s">
        <v>807</v>
      </c>
      <c r="D33" s="155">
        <f>IF('COMPOS CART'!D86=0,0,((-BALANCE!D420+BALANCE!D1074+BALANCE!D1080+BALANCE!D1086)/'COMPOS CART'!D86))*100</f>
        <v>0</v>
      </c>
      <c r="E33" s="155">
        <f>IF('COMPOS CART'!E86=0,0,((-BALANCE!E420+BALANCE!E1074+BALANCE!E1080+BALANCE!E1086)/'COMPOS CART'!E86))*100</f>
        <v>0</v>
      </c>
      <c r="F33" s="155">
        <f>IF('COMPOS CART'!F86=0,0,((-BALANCE!F420+BALANCE!F1074+BALANCE!F1080+BALANCE!F1086)/'COMPOS CART'!F86))*100</f>
        <v>5306.5811621195298</v>
      </c>
      <c r="G33" s="155">
        <f>IF('COMPOS CART'!G86=0,0,((-BALANCE!G420+BALANCE!G1074+BALANCE!G1080+BALANCE!G1086)/'COMPOS CART'!G86))*100</f>
        <v>0</v>
      </c>
      <c r="H33" s="155">
        <f>IF('COMPOS CART'!H86=0,0,((-BALANCE!H420+BALANCE!H1074+BALANCE!H1080+BALANCE!H1086)/'COMPOS CART'!H86))*100</f>
        <v>0</v>
      </c>
      <c r="I33" s="155">
        <f>IF('COMPOS CART'!I86=0,0,((-BALANCE!I420+BALANCE!I1074+BALANCE!I1080+BALANCE!I1086)/'COMPOS CART'!I86))*100</f>
        <v>5306.5811621195298</v>
      </c>
      <c r="J33" s="155">
        <f>IF('COMPOS CART'!J86=0,0,((-BALANCE!J420+BALANCE!J1074+BALANCE!J1080+BALANCE!J1086)/'COMPOS CART'!J86))*100</f>
        <v>5306.5811621195298</v>
      </c>
      <c r="K33" s="155">
        <f>IF('COMPOS CART'!K86=0,0,((-BALANCE!K420+BALANCE!K1074+BALANCE!K1080+BALANCE!K1086)/'COMPOS CART'!K86))*100</f>
        <v>0</v>
      </c>
    </row>
    <row r="34" spans="3:11" x14ac:dyDescent="0.2">
      <c r="C34" s="154" t="s">
        <v>808</v>
      </c>
      <c r="D34" s="155">
        <f>IF('COMPOS CART'!D87=0,0,(-BALANCE!D414/'COMPOS CART'!D87))*100</f>
        <v>70.935858960587609</v>
      </c>
      <c r="E34" s="155">
        <f>IF('COMPOS CART'!E87=0,0,(-BALANCE!E414/'COMPOS CART'!E87))*100</f>
        <v>70.935858960587609</v>
      </c>
      <c r="F34" s="155">
        <f>IF('COMPOS CART'!F87=0,0,(-BALANCE!F414/'COMPOS CART'!F87))*100</f>
        <v>5306.5811621195298</v>
      </c>
      <c r="G34" s="155">
        <f>IF('COMPOS CART'!G87=0,0,(-BALANCE!G414/'COMPOS CART'!G87))*100</f>
        <v>71.318168134286807</v>
      </c>
      <c r="H34" s="155">
        <f>IF('COMPOS CART'!H87=0,0,(-BALANCE!H414/'COMPOS CART'!H87))*100</f>
        <v>100.64013967017908</v>
      </c>
      <c r="I34" s="155">
        <f>IF('COMPOS CART'!I87=0,0,(-BALANCE!I414/'COMPOS CART'!I87))*100</f>
        <v>86.025882970535477</v>
      </c>
      <c r="J34" s="155">
        <f>IF('COMPOS CART'!J87=0,0,(-BALANCE!J414/'COMPOS CART'!J87))*100</f>
        <v>84.594965085568461</v>
      </c>
      <c r="K34" s="155">
        <f>IF('COMPOS CART'!K87=0,0,(-BALANCE!K414/'COMPOS CART'!K87))*100</f>
        <v>47.916749736937142</v>
      </c>
    </row>
    <row r="35" spans="3:11" x14ac:dyDescent="0.2">
      <c r="C35" s="154"/>
    </row>
    <row r="36" spans="3:11" ht="15" x14ac:dyDescent="0.25">
      <c r="C36" s="153" t="s">
        <v>809</v>
      </c>
    </row>
    <row r="37" spans="3:11" ht="16.5" x14ac:dyDescent="0.2">
      <c r="C37" s="154" t="s">
        <v>810</v>
      </c>
      <c r="D37" s="155">
        <f>(((EPyG!D60/[2]PROMEDIO!E18)/BALANCE!$C$6)*12)*100</f>
        <v>4.0347871255609817</v>
      </c>
      <c r="E37" s="155">
        <f>(((EPyG!E60/[2]PROMEDIO!F18)/BALANCE!$C$6)*12)*100</f>
        <v>4.0347871255609817</v>
      </c>
      <c r="F37" s="155">
        <f>(((EPyG!F60/[2]PROMEDIO!G18)/BALANCE!$C$6)*12)*100</f>
        <v>1.0276287152868471</v>
      </c>
      <c r="G37" s="155">
        <f>(((EPyG!G60/[2]PROMEDIO!H18)/BALANCE!$C$6)*12)*100</f>
        <v>4.9518786862627433</v>
      </c>
      <c r="H37" s="155">
        <f>(((EPyG!H60/[2]PROMEDIO!I18)/BALANCE!$C$6)*12)*100</f>
        <v>1.9593669033258196</v>
      </c>
      <c r="I37" s="155">
        <f>(((EPyG!I60/[2]PROMEDIO!J18)/BALANCE!$C$6)*12)*100</f>
        <v>2.6004441526649673</v>
      </c>
      <c r="J37" s="155">
        <f>(((EPyG!J60/[2]PROMEDIO!K18)/BALANCE!$C$6)*12)*100</f>
        <v>2.6799218883398779</v>
      </c>
      <c r="K37" s="155">
        <f>(((EPyG!K60/[2]PROMEDIO!L18)/BALANCE!$C$6)*12)*100</f>
        <v>3.0745522811927462</v>
      </c>
    </row>
    <row r="38" spans="3:11" x14ac:dyDescent="0.2">
      <c r="C38" s="154" t="s">
        <v>811</v>
      </c>
      <c r="D38" s="155">
        <f>(EPyG!D60/EPyG!D58)*100</f>
        <v>-244.64434394544784</v>
      </c>
      <c r="E38" s="155">
        <f>(EPyG!E60/EPyG!E58)*100</f>
        <v>-244.64434394544784</v>
      </c>
      <c r="F38" s="155">
        <f>(EPyG!F60/EPyG!F58)*100</f>
        <v>21.363594781470884</v>
      </c>
      <c r="G38" s="155">
        <f>(EPyG!G60/EPyG!G58)*100</f>
        <v>187.37874915507317</v>
      </c>
      <c r="H38" s="155">
        <f>(EPyG!H60/EPyG!H58)*100</f>
        <v>86.9243282844036</v>
      </c>
      <c r="I38" s="155">
        <f>(EPyG!I60/EPyG!I58)*100</f>
        <v>84.730707025210023</v>
      </c>
      <c r="J38" s="155">
        <f>(EPyG!J60/EPyG!J58)*100</f>
        <v>95.451564914038272</v>
      </c>
      <c r="K38" s="155">
        <f>(EPyG!K60/EPyG!K58)*100</f>
        <v>68.834379663126967</v>
      </c>
    </row>
    <row r="39" spans="3:11" ht="16.5" x14ac:dyDescent="0.2">
      <c r="C39" s="154" t="s">
        <v>812</v>
      </c>
      <c r="D39" s="155">
        <f>((((EPyG!D61/[2]PROMEDIO!E18)/BALANCE!$C$6)*12)*100)</f>
        <v>2.43714933470571</v>
      </c>
      <c r="E39" s="155">
        <f>((((EPyG!E61/[2]PROMEDIO!F18)/BALANCE!$C$6)*12)*100)</f>
        <v>2.43714933470571</v>
      </c>
      <c r="F39" s="155">
        <f>((((EPyG!F61/[2]PROMEDIO!G18)/BALANCE!$C$6)*12)*100)</f>
        <v>0.80538721138248648</v>
      </c>
      <c r="G39" s="155">
        <f>((((EPyG!G61/[2]PROMEDIO!H18)/BALANCE!$C$6)*12)*100)</f>
        <v>3.1994165975146052</v>
      </c>
      <c r="H39" s="155">
        <f>((((EPyG!H61/[2]PROMEDIO!I18)/BALANCE!$C$6)*12)*100)</f>
        <v>1.1216428326494283</v>
      </c>
      <c r="I39" s="155">
        <f>((((EPyG!I61/[2]PROMEDIO!J18)/BALANCE!$C$6)*12)*100)</f>
        <v>1.657139768077212</v>
      </c>
      <c r="J39" s="155">
        <f>((((EPyG!J61/[2]PROMEDIO!K18)/BALANCE!$C$6)*12)*100)</f>
        <v>1.7003605286148631</v>
      </c>
      <c r="K39" s="155">
        <f>((((EPyG!K61/[2]PROMEDIO!L18)/BALANCE!$C$6)*12)*100)</f>
        <v>2.2216080867672474</v>
      </c>
    </row>
    <row r="40" spans="3:11" x14ac:dyDescent="0.2">
      <c r="C40" s="154"/>
    </row>
    <row r="41" spans="3:11" ht="15" x14ac:dyDescent="0.25">
      <c r="C41" s="153" t="s">
        <v>813</v>
      </c>
    </row>
    <row r="42" spans="3:11" x14ac:dyDescent="0.2">
      <c r="C42" s="154" t="s">
        <v>814</v>
      </c>
      <c r="D42" s="155">
        <f>IF(BALANCE!$C$6=12,(BALANCE!D837-BALANCE!D838)/(BALANCE!D839-BALANCE!D837-BALANCE!D838),(((PYG!D104/BALANCE!$C$6)*12)/[2]PROMEDIO!E146))*100</f>
        <v>-8.7942141906182645</v>
      </c>
      <c r="E42" s="155">
        <f>IF(BALANCE!$C$6=12,(BALANCE!E837-BALANCE!E838)/(BALANCE!E839-BALANCE!E837-BALANCE!E838),(((PYG!E104/BALANCE!$C$6)*12)/[2]PROMEDIO!F146))*100</f>
        <v>-8.7942141906182645</v>
      </c>
      <c r="F42" s="155">
        <f>IF(BALANCE!$C$6=12,(BALANCE!F837-BALANCE!F838)/(BALANCE!F839-BALANCE!F837-BALANCE!F838),(((PYG!F104/BALANCE!$C$6)*12)/[2]PROMEDIO!G146))*100</f>
        <v>11.834193304770082</v>
      </c>
      <c r="G42" s="155">
        <f>IF(BALANCE!$C$6=12,(BALANCE!G837-BALANCE!G838)/(BALANCE!G839-BALANCE!G837-BALANCE!G838),(((PYG!G104/BALANCE!$C$6)*12)/[2]PROMEDIO!H146))*100</f>
        <v>-3.5516258674152019</v>
      </c>
      <c r="H42" s="155">
        <f>IF(BALANCE!$C$6=12,(BALANCE!H837-BALANCE!H838)/(BALANCE!H839-BALANCE!H837-BALANCE!H838),(((PYG!H104/BALANCE!$C$6)*12)/[2]PROMEDIO!I146))*100</f>
        <v>11.404534997099947</v>
      </c>
      <c r="I42" s="155">
        <f>IF(BALANCE!$C$6=12,(BALANCE!I837-BALANCE!I838)/(BALANCE!I839-BALANCE!I837-BALANCE!I838),(((PYG!I104/BALANCE!$C$6)*12)/[2]PROMEDIO!J146))*100</f>
        <v>7.6635717147745392</v>
      </c>
      <c r="J42" s="155">
        <f>IF(BALANCE!$C$6=12,(BALANCE!J837-BALANCE!J838)/(BALANCE!J839-BALANCE!J837-BALANCE!J838),(((PYG!J104/BALANCE!$C$6)*12)/[2]PROMEDIO!K146))*100</f>
        <v>6.8630090898057841</v>
      </c>
      <c r="K42" s="155">
        <f>IF(BALANCE!$C$6=12,(BALANCE!K837-BALANCE!K838)/(BALANCE!K839-BALANCE!K837-BALANCE!K838),(((PYG!K104/BALANCE!$C$6)*12)/[2]PROMEDIO!L146))*100</f>
        <v>1.7710082331970614</v>
      </c>
    </row>
    <row r="43" spans="3:11" x14ac:dyDescent="0.2">
      <c r="C43" s="154" t="s">
        <v>815</v>
      </c>
      <c r="D43" s="155">
        <f>IF(BALANCE!$C$6=12,(BALANCE!D837-BALANCE!D838/BALANCE!D617),(((PYG!D104/BALANCE!$C$6)*12)/[2]PROMEDIO!E18))*100</f>
        <v>-2.5723119894496675</v>
      </c>
      <c r="E43" s="155">
        <f>IF(BALANCE!$C$6=12,(BALANCE!E837-BALANCE!E838/BALANCE!E617),(((PYG!E104/BALANCE!$C$6)*12)/[2]PROMEDIO!F18))*100</f>
        <v>-2.5723119894496675</v>
      </c>
      <c r="F43" s="155">
        <f>IF(BALANCE!$C$6=12,(BALANCE!F837-BALANCE!F838/BALANCE!F617),(((PYG!F104/BALANCE!$C$6)*12)/[2]PROMEDIO!G18))*100</f>
        <v>3.6965322533507852</v>
      </c>
      <c r="G43" s="155">
        <f>IF(BALANCE!$C$6=12,(BALANCE!G837-BALANCE!G838/BALANCE!G617),(((PYG!G104/BALANCE!$C$6)*12)/[2]PROMEDIO!H18))*100</f>
        <v>-1.0250511508432167</v>
      </c>
      <c r="H43" s="155">
        <f>IF(BALANCE!$C$6=12,(BALANCE!H837-BALANCE!H838/BALANCE!H617),(((PYG!H104/BALANCE!$C$6)*12)/[2]PROMEDIO!I18))*100</f>
        <v>4.3716574738117382</v>
      </c>
      <c r="I43" s="155">
        <f>IF(BALANCE!$C$6=12,(BALANCE!I837-BALANCE!I838/BALANCE!I617),(((PYG!I104/BALANCE!$C$6)*12)/[2]PROMEDIO!J18))*100</f>
        <v>2.5717375645439704</v>
      </c>
      <c r="J43" s="155">
        <f>IF(BALANCE!$C$6=12,(BALANCE!J837-BALANCE!J838/BALANCE!J617),(((PYG!J104/BALANCE!$C$6)*12)/[2]PROMEDIO!K18))*100</f>
        <v>2.2867029399970371</v>
      </c>
      <c r="K43" s="155">
        <f>IF(BALANCE!$C$6=12,(BALANCE!K837-BALANCE!K838/BALANCE!K617),(((PYG!K104/BALANCE!$C$6)*12)/[2]PROMEDIO!L18))*100</f>
        <v>1.6245473349676725</v>
      </c>
    </row>
    <row r="45" spans="3:11" ht="15" x14ac:dyDescent="0.25">
      <c r="C45" s="153" t="s">
        <v>816</v>
      </c>
    </row>
    <row r="46" spans="3:11" x14ac:dyDescent="0.2">
      <c r="C46" s="154" t="s">
        <v>817</v>
      </c>
      <c r="D46" s="155">
        <f>((BALANCE!D86-BALANCE!D414)/(BALANCE!D625+BALANCE!D641))*100</f>
        <v>141.35215989604254</v>
      </c>
      <c r="E46" s="155">
        <f>((BALANCE!E86-BALANCE!E414)/(BALANCE!E625+BALANCE!E641))*100</f>
        <v>141.35215989604254</v>
      </c>
      <c r="F46" s="155">
        <f>((BALANCE!F86-BALANCE!F414)/(BALANCE!F625+BALANCE!F641))*100</f>
        <v>221.91806835594127</v>
      </c>
      <c r="G46" s="155">
        <f>((BALANCE!G86-BALANCE!G414)/(BALANCE!G625+BALANCE!G641))*100</f>
        <v>91.953560786412339</v>
      </c>
      <c r="H46" s="155">
        <f>((BALANCE!H86-BALANCE!H414)/(BALANCE!H625+BALANCE!H641))*100</f>
        <v>101.22242364882553</v>
      </c>
      <c r="I46" s="155">
        <f>((BALANCE!I86-BALANCE!I414)/(BALANCE!I625+BALANCE!I641))*100</f>
        <v>117.37795754364349</v>
      </c>
      <c r="J46" s="155">
        <f>((BALANCE!J86-BALANCE!J414)/(BALANCE!J625+BALANCE!J641))*100</f>
        <v>118.54108882238678</v>
      </c>
      <c r="K46" s="155" t="e">
        <f>((BALANCE!K86-BALANCE!K414)/(BALANCE!K625+BALANCE!K641))*100</f>
        <v>#DIV/0!</v>
      </c>
    </row>
    <row r="47" spans="3:11" x14ac:dyDescent="0.2">
      <c r="C47" s="154"/>
    </row>
    <row r="48" spans="3:11" ht="15" x14ac:dyDescent="0.25">
      <c r="C48" s="153" t="s">
        <v>818</v>
      </c>
    </row>
    <row r="49" spans="3:11" x14ac:dyDescent="0.2">
      <c r="C49" s="154" t="s">
        <v>819</v>
      </c>
      <c r="D49" s="155">
        <f>(((EPyG!D68/[2]PROMEDIO!E146)/BALANCE!$C$6)*12)*100</f>
        <v>-19.432559201659615</v>
      </c>
      <c r="E49" s="155">
        <f>(((EPyG!E68/[2]PROMEDIO!F146)/BALANCE!$C$6)*12)*100</f>
        <v>-19.432559201659615</v>
      </c>
      <c r="F49" s="155">
        <f>(((EPyG!F68/[2]PROMEDIO!G146)/BALANCE!$C$6)*12)*100</f>
        <v>12.10959756440193</v>
      </c>
      <c r="G49" s="155">
        <f>(((EPyG!G68/[2]PROMEDIO!H146)/BALANCE!$C$6)*12)*100</f>
        <v>-8.0008689567360634</v>
      </c>
      <c r="H49" s="155">
        <f>(((EPyG!H68/[2]PROMEDIO!I146)/BALANCE!$C$6)*12)*100</f>
        <v>0.76890004850028826</v>
      </c>
      <c r="I49" s="155">
        <f>(((EPyG!I68/[2]PROMEDIO!J146)/BALANCE!$C$6)*12)*100</f>
        <v>1.3964654855090228</v>
      </c>
      <c r="J49" s="155">
        <f>(((EPyG!J68/[2]PROMEDIO!K146)/BALANCE!$C$6)*12)*100</f>
        <v>0.38327095406024725</v>
      </c>
      <c r="K49" s="155">
        <f>(((EPyG!K68/[2]PROMEDIO!L146)/BALANCE!$C$6)*12)*100</f>
        <v>1.5175411116833473</v>
      </c>
    </row>
    <row r="50" spans="3:11" x14ac:dyDescent="0.2">
      <c r="C50" s="154" t="s">
        <v>820</v>
      </c>
      <c r="D50" s="155">
        <f>(((EPyG!D68/[2]PROMEDIO!E18)/BALANCE!$C$6)*12)*100</f>
        <v>-5.6840331536893416</v>
      </c>
      <c r="E50" s="155">
        <f>(((EPyG!E68/[2]PROMEDIO!F18)/BALANCE!$C$6)*12)*100</f>
        <v>-5.6840331536893416</v>
      </c>
      <c r="F50" s="155">
        <f>(((EPyG!F68/[2]PROMEDIO!G18)/BALANCE!$C$6)*12)*100</f>
        <v>3.7825576124286173</v>
      </c>
      <c r="G50" s="155">
        <f>(((EPyG!G68/[2]PROMEDIO!H18)/BALANCE!$C$6)*12)*100</f>
        <v>-2.3091677552784584</v>
      </c>
      <c r="H50" s="155">
        <f>(((EPyG!H68/[2]PROMEDIO!I18)/BALANCE!$C$6)*12)*100</f>
        <v>0.29473956145474173</v>
      </c>
      <c r="I50" s="155">
        <f>(((EPyG!I68/[2]PROMEDIO!J18)/BALANCE!$C$6)*12)*100</f>
        <v>0.46862518944645171</v>
      </c>
      <c r="J50" s="155">
        <f>(((EPyG!J68/[2]PROMEDIO!K18)/BALANCE!$C$6)*12)*100</f>
        <v>0.1277029952891755</v>
      </c>
      <c r="K50" s="155">
        <f>(((EPyG!K68/[2]PROMEDIO!L18)/BALANCE!$C$6)*12)*100</f>
        <v>1.3920417322050607</v>
      </c>
    </row>
    <row r="51" spans="3:11" x14ac:dyDescent="0.2">
      <c r="C51" s="154"/>
    </row>
    <row r="52" spans="3:11" ht="17.25" x14ac:dyDescent="0.25">
      <c r="C52" s="153" t="s">
        <v>821</v>
      </c>
    </row>
    <row r="53" spans="3:11" x14ac:dyDescent="0.2">
      <c r="C53" s="154" t="s">
        <v>822</v>
      </c>
      <c r="D53" s="155">
        <f>IF([2]PROMEDIO!E296=0,0,((([2]PROMEDIO!E307/[2]PROMEDIO!E296)/(BALANCE!$C$6))*12)*100)</f>
        <v>6.1335655069978552</v>
      </c>
      <c r="E53" s="155">
        <f>IF([2]PROMEDIO!F296=0,0,((([2]PROMEDIO!F307/[2]PROMEDIO!F296)/(BALANCE!$C$6))*12)*100)</f>
        <v>6.1335655069978552</v>
      </c>
      <c r="F53" s="155">
        <f>IF([2]PROMEDIO!G296=0,0,((([2]PROMEDIO!G307/[2]PROMEDIO!G296)/(BALANCE!$C$6))*12)*100)</f>
        <v>0</v>
      </c>
      <c r="G53" s="155">
        <f>IF([2]PROMEDIO!H296=0,0,((([2]PROMEDIO!H307/[2]PROMEDIO!H296)/(BALANCE!$C$6))*12)*100)</f>
        <v>10.402284634298114</v>
      </c>
      <c r="H53" s="155">
        <f>IF([2]PROMEDIO!I296=0,0,((([2]PROMEDIO!I307/[2]PROMEDIO!I296)/(BALANCE!$C$6))*12)*100)</f>
        <v>8.1475231516227495</v>
      </c>
      <c r="I53" s="155">
        <f>IF([2]PROMEDIO!J296=0,0,((([2]PROMEDIO!J307/[2]PROMEDIO!J296)/(BALANCE!$C$6))*12)*100)</f>
        <v>5.99434548272143</v>
      </c>
      <c r="J53" s="155">
        <f>IF([2]PROMEDIO!K296=0,0,((([2]PROMEDIO!K307/[2]PROMEDIO!K296)/(BALANCE!$C$6))*12)*100)</f>
        <v>6.0026642740185654</v>
      </c>
      <c r="K53" s="155">
        <f>IF([2]PROMEDIO!L296=0,0,((([2]PROMEDIO!L307/[2]PROMEDIO!L296)/(BALANCE!$C$6))*12)*100)</f>
        <v>0</v>
      </c>
    </row>
    <row r="54" spans="3:11" x14ac:dyDescent="0.2">
      <c r="C54" s="154" t="s">
        <v>823</v>
      </c>
      <c r="D54" s="155">
        <f>IF([2]PROMEDIO!E297=0,0,((([2]PROMEDIO!E308/[2]PROMEDIO!E297)/(BALANCE!$C$6))*12)*100)</f>
        <v>0</v>
      </c>
      <c r="E54" s="155">
        <f>IF([2]PROMEDIO!F297=0,0,((([2]PROMEDIO!F308/[2]PROMEDIO!F297)/(BALANCE!$C$6))*12)*100)</f>
        <v>0</v>
      </c>
      <c r="F54" s="155">
        <f>IF([2]PROMEDIO!G297=0,0,((([2]PROMEDIO!G308/[2]PROMEDIO!G297)/(BALANCE!$C$6))*12)*100)</f>
        <v>0</v>
      </c>
      <c r="G54" s="155">
        <f>IF([2]PROMEDIO!H297=0,0,((([2]PROMEDIO!H308/[2]PROMEDIO!H297)/(BALANCE!$C$6))*12)*100)</f>
        <v>16.480646595469711</v>
      </c>
      <c r="H54" s="155">
        <f>IF([2]PROMEDIO!I297=0,0,((([2]PROMEDIO!I308/[2]PROMEDIO!I297)/(BALANCE!$C$6))*12)*100)</f>
        <v>0</v>
      </c>
      <c r="I54" s="155">
        <f>IF([2]PROMEDIO!J297=0,0,((([2]PROMEDIO!J308/[2]PROMEDIO!J297)/(BALANCE!$C$6))*12)*100)</f>
        <v>16.480646595469711</v>
      </c>
      <c r="J54" s="155">
        <f>IF([2]PROMEDIO!K297=0,0,((([2]PROMEDIO!K308/[2]PROMEDIO!K297)/(BALANCE!$C$6))*12)*100)</f>
        <v>16.480646595469711</v>
      </c>
      <c r="K54" s="155">
        <f>IF([2]PROMEDIO!L297=0,0,((([2]PROMEDIO!L308/[2]PROMEDIO!L297)/(BALANCE!$C$6))*12)*100)</f>
        <v>0</v>
      </c>
    </row>
    <row r="55" spans="3:11" x14ac:dyDescent="0.2">
      <c r="C55" s="154" t="s">
        <v>824</v>
      </c>
      <c r="D55" s="155">
        <f>IF([2]PROMEDIO!E298=0,0,((([2]PROMEDIO!E309/[2]PROMEDIO!E298)/(BALANCE!$C$6))*12)*100)</f>
        <v>9.8942664940161276</v>
      </c>
      <c r="E55" s="155">
        <f>IF([2]PROMEDIO!F298=0,0,((([2]PROMEDIO!F309/[2]PROMEDIO!F298)/(BALANCE!$C$6))*12)*100)</f>
        <v>9.8942664940161276</v>
      </c>
      <c r="F55" s="155">
        <f>IF([2]PROMEDIO!G298=0,0,((([2]PROMEDIO!G309/[2]PROMEDIO!G298)/(BALANCE!$C$6))*12)*100)</f>
        <v>0</v>
      </c>
      <c r="G55" s="155">
        <f>IF([2]PROMEDIO!H298=0,0,((([2]PROMEDIO!H309/[2]PROMEDIO!H298)/(BALANCE!$C$6))*12)*100)</f>
        <v>0</v>
      </c>
      <c r="H55" s="155">
        <f>IF([2]PROMEDIO!I298=0,0,((([2]PROMEDIO!I309/[2]PROMEDIO!I298)/(BALANCE!$C$6))*12)*100)</f>
        <v>0</v>
      </c>
      <c r="I55" s="155">
        <f>IF([2]PROMEDIO!J298=0,0,((([2]PROMEDIO!J309/[2]PROMEDIO!J298)/(BALANCE!$C$6))*12)*100)</f>
        <v>0</v>
      </c>
      <c r="J55" s="155">
        <f>IF([2]PROMEDIO!K298=0,0,((([2]PROMEDIO!K309/[2]PROMEDIO!K298)/(BALANCE!$C$6))*12)*100)</f>
        <v>9.711600322912636</v>
      </c>
      <c r="K55" s="155">
        <f>IF([2]PROMEDIO!L298=0,0,((([2]PROMEDIO!L309/[2]PROMEDIO!L298)/(BALANCE!$C$6))*12)*100)</f>
        <v>0</v>
      </c>
    </row>
    <row r="56" spans="3:11" x14ac:dyDescent="0.2">
      <c r="C56" s="154" t="s">
        <v>825</v>
      </c>
      <c r="D56" s="155">
        <f>IF([2]PROMEDIO!E299=0,0,((([2]PROMEDIO!E310/[2]PROMEDIO!E299)/(BALANCE!$C$6))*12)*100)</f>
        <v>0</v>
      </c>
      <c r="E56" s="155">
        <f>IF([2]PROMEDIO!F299=0,0,((([2]PROMEDIO!F310/[2]PROMEDIO!F299)/(BALANCE!$C$6))*12)*100)</f>
        <v>0</v>
      </c>
      <c r="F56" s="155">
        <f>IF([2]PROMEDIO!G299=0,0,((([2]PROMEDIO!G310/[2]PROMEDIO!G299)/(BALANCE!$C$6))*12)*100)</f>
        <v>0</v>
      </c>
      <c r="G56" s="155">
        <f>IF([2]PROMEDIO!H299=0,0,((([2]PROMEDIO!H310/[2]PROMEDIO!H299)/(BALANCE!$C$6))*12)*100)</f>
        <v>9.5447019324758138</v>
      </c>
      <c r="H56" s="155">
        <f>IF([2]PROMEDIO!I299=0,0,((([2]PROMEDIO!I310/[2]PROMEDIO!I299)/(BALANCE!$C$6))*12)*100)</f>
        <v>9.6129434653779597</v>
      </c>
      <c r="I56" s="155">
        <f>IF([2]PROMEDIO!J299=0,0,((([2]PROMEDIO!J310/[2]PROMEDIO!J299)/(BALANCE!$C$6))*12)*100)</f>
        <v>9.5535643260265459</v>
      </c>
      <c r="J56" s="155">
        <f>IF([2]PROMEDIO!K299=0,0,((([2]PROMEDIO!K310/[2]PROMEDIO!K299)/(BALANCE!$C$6))*12)*100)</f>
        <v>9.5535643260265459</v>
      </c>
      <c r="K56" s="155">
        <f>IF([2]PROMEDIO!L299=0,0,((([2]PROMEDIO!L310/[2]PROMEDIO!L299)/(BALANCE!$C$6))*12)*100)</f>
        <v>0</v>
      </c>
    </row>
    <row r="57" spans="3:11" x14ac:dyDescent="0.2">
      <c r="C57" s="154" t="s">
        <v>826</v>
      </c>
      <c r="D57" s="155">
        <f>IF([2]PROMEDIO!E300=0,0,((([2]PROMEDIO!E311/[2]PROMEDIO!E300)/(BALANCE!$C$6))*12)*100)</f>
        <v>0</v>
      </c>
      <c r="E57" s="155">
        <f>IF([2]PROMEDIO!F300=0,0,((([2]PROMEDIO!F311/[2]PROMEDIO!F300)/(BALANCE!$C$6))*12)*100)</f>
        <v>0</v>
      </c>
      <c r="F57" s="155">
        <f>IF([2]PROMEDIO!G300=0,0,((([2]PROMEDIO!G311/[2]PROMEDIO!G300)/(BALANCE!$C$6))*12)*100)</f>
        <v>0</v>
      </c>
      <c r="G57" s="155">
        <f>IF([2]PROMEDIO!H300=0,0,((([2]PROMEDIO!H311/[2]PROMEDIO!H300)/(BALANCE!$C$6))*12)*100)</f>
        <v>0</v>
      </c>
      <c r="H57" s="155">
        <f>IF([2]PROMEDIO!I300=0,0,((([2]PROMEDIO!I311/[2]PROMEDIO!I300)/(BALANCE!$C$6))*12)*100)</f>
        <v>0</v>
      </c>
      <c r="I57" s="155">
        <f>IF([2]PROMEDIO!J300=0,0,((([2]PROMEDIO!J311/[2]PROMEDIO!J300)/(BALANCE!$C$6))*12)*100)</f>
        <v>0</v>
      </c>
      <c r="J57" s="155">
        <f>IF([2]PROMEDIO!K300=0,0,((([2]PROMEDIO!K311/[2]PROMEDIO!K300)/(BALANCE!$C$6))*12)*100)</f>
        <v>0</v>
      </c>
      <c r="K57" s="155">
        <f>IF([2]PROMEDIO!L300=0,0,((([2]PROMEDIO!L311/[2]PROMEDIO!L300)/(BALANCE!$C$6))*12)*100)</f>
        <v>5.5770282485404614</v>
      </c>
    </row>
    <row r="58" spans="3:11" x14ac:dyDescent="0.2">
      <c r="C58" s="154" t="s">
        <v>827</v>
      </c>
      <c r="D58" s="155">
        <f>IF([2]PROMEDIO!E301=0,0,((([2]PROMEDIO!E312/[2]PROMEDIO!E301)/(BALANCE!$C$6))*12)*100)</f>
        <v>0</v>
      </c>
      <c r="E58" s="155">
        <f>IF([2]PROMEDIO!F301=0,0,((([2]PROMEDIO!F312/[2]PROMEDIO!F301)/(BALANCE!$C$6))*12)*100)</f>
        <v>0</v>
      </c>
      <c r="F58" s="155">
        <f>IF([2]PROMEDIO!G301=0,0,((([2]PROMEDIO!G312/[2]PROMEDIO!G301)/(BALANCE!$C$6))*12)*100)</f>
        <v>7.4860566941827633</v>
      </c>
      <c r="G58" s="155">
        <f>IF([2]PROMEDIO!H301=0,0,((([2]PROMEDIO!H312/[2]PROMEDIO!H301)/(BALANCE!$C$6))*12)*100)</f>
        <v>0</v>
      </c>
      <c r="H58" s="155">
        <f>IF([2]PROMEDIO!I301=0,0,((([2]PROMEDIO!I312/[2]PROMEDIO!I301)/(BALANCE!$C$6))*12)*100)</f>
        <v>0</v>
      </c>
      <c r="I58" s="155">
        <f>IF([2]PROMEDIO!J301=0,0,((([2]PROMEDIO!J312/[2]PROMEDIO!J301)/(BALANCE!$C$6))*12)*100)</f>
        <v>7.4860566941827633</v>
      </c>
      <c r="J58" s="155">
        <f>IF([2]PROMEDIO!K301=0,0,((([2]PROMEDIO!K312/[2]PROMEDIO!K301)/(BALANCE!$C$6))*12)*100)</f>
        <v>7.4860566941827633</v>
      </c>
      <c r="K58" s="155">
        <f>IF([2]PROMEDIO!L301=0,0,((([2]PROMEDIO!L312/[2]PROMEDIO!L301)/(BALANCE!$C$6))*12)*100)</f>
        <v>0</v>
      </c>
    </row>
    <row r="59" spans="3:11" x14ac:dyDescent="0.2">
      <c r="C59" s="154" t="s">
        <v>828</v>
      </c>
      <c r="D59" s="155">
        <f>IF([2]PROMEDIO!E302=0,0,((([2]PROMEDIO!E313/[2]PROMEDIO!E302)/(BALANCE!$C$6))*12)*100)</f>
        <v>1.1605185470795034</v>
      </c>
      <c r="E59" s="155">
        <f>IF([2]PROMEDIO!F302=0,0,((([2]PROMEDIO!F313/[2]PROMEDIO!F302)/(BALANCE!$C$6))*12)*100)</f>
        <v>1.1605185470795034</v>
      </c>
      <c r="F59" s="155">
        <f>IF([2]PROMEDIO!G302=0,0,((([2]PROMEDIO!G313/[2]PROMEDIO!G302)/(BALANCE!$C$6))*12)*100)</f>
        <v>0</v>
      </c>
      <c r="G59" s="155">
        <f>IF([2]PROMEDIO!H302=0,0,((([2]PROMEDIO!H313/[2]PROMEDIO!H302)/(BALANCE!$C$6))*12)*100)</f>
        <v>0</v>
      </c>
      <c r="H59" s="155">
        <f>IF([2]PROMEDIO!I302=0,0,((([2]PROMEDIO!I313/[2]PROMEDIO!I302)/(BALANCE!$C$6))*12)*100)</f>
        <v>0</v>
      </c>
      <c r="I59" s="155">
        <f>IF([2]PROMEDIO!J302=0,0,((([2]PROMEDIO!J313/[2]PROMEDIO!J302)/(BALANCE!$C$6))*12)*100)</f>
        <v>0</v>
      </c>
      <c r="J59" s="155">
        <f>IF([2]PROMEDIO!K302=0,0,((([2]PROMEDIO!K313/[2]PROMEDIO!K302)/(BALANCE!$C$6))*12)*100)</f>
        <v>1.1605185470795034</v>
      </c>
      <c r="K59" s="155">
        <f>IF([2]PROMEDIO!L302=0,0,((([2]PROMEDIO!L313/[2]PROMEDIO!L302)/(BALANCE!$C$6))*12)*100)</f>
        <v>0</v>
      </c>
    </row>
    <row r="60" spans="3:11" x14ac:dyDescent="0.2">
      <c r="C60" s="154" t="s">
        <v>829</v>
      </c>
      <c r="D60" s="155">
        <f>IF([2]PROMEDIO!E303=0,0,((([2]PROMEDIO!E314/[2]PROMEDIO!E303)/(BALANCE!$C$6))*12)*100)</f>
        <v>8.7290838276956944</v>
      </c>
      <c r="E60" s="155">
        <f>IF([2]PROMEDIO!F303=0,0,((([2]PROMEDIO!F314/[2]PROMEDIO!F303)/(BALANCE!$C$6))*12)*100)</f>
        <v>8.7290838276956944</v>
      </c>
      <c r="F60" s="155">
        <f>IF([2]PROMEDIO!G303=0,0,((([2]PROMEDIO!G314/[2]PROMEDIO!G303)/(BALANCE!$C$6))*12)*100)</f>
        <v>0</v>
      </c>
      <c r="G60" s="155">
        <f>IF([2]PROMEDIO!H303=0,0,((([2]PROMEDIO!H314/[2]PROMEDIO!H303)/(BALANCE!$C$6))*12)*100)</f>
        <v>10.006572324592522</v>
      </c>
      <c r="H60" s="155">
        <f>IF([2]PROMEDIO!I303=0,0,((([2]PROMEDIO!I314/[2]PROMEDIO!I303)/(BALANCE!$C$6))*12)*100)</f>
        <v>10.121071791953986</v>
      </c>
      <c r="I60" s="155">
        <f>IF([2]PROMEDIO!J303=0,0,((([2]PROMEDIO!J314/[2]PROMEDIO!J303)/(BALANCE!$C$6))*12)*100)</f>
        <v>10.042333133521291</v>
      </c>
      <c r="J60" s="155">
        <f>IF([2]PROMEDIO!K303=0,0,((([2]PROMEDIO!K314/[2]PROMEDIO!K303)/(BALANCE!$C$6))*12)*100)</f>
        <v>9.8832281560724535</v>
      </c>
      <c r="K60" s="155">
        <f>IF([2]PROMEDIO!L303=0,0,((([2]PROMEDIO!L314/[2]PROMEDIO!L303)/(BALANCE!$C$6))*12)*100)</f>
        <v>0</v>
      </c>
    </row>
    <row r="61" spans="3:11" x14ac:dyDescent="0.2">
      <c r="C61" s="154" t="s">
        <v>830</v>
      </c>
      <c r="D61" s="155">
        <f>IF([2]PROMEDIO!E304=0,0,((([2]PROMEDIO!E315/[2]PROMEDIO!E304)/(BALANCE!$C$6))*12)*100)</f>
        <v>6.8704241931489038</v>
      </c>
      <c r="E61" s="155">
        <f>IF([2]PROMEDIO!F304=0,0,((([2]PROMEDIO!F315/[2]PROMEDIO!F304)/(BALANCE!$C$6))*12)*100)</f>
        <v>6.8704241931489038</v>
      </c>
      <c r="F61" s="155">
        <f>IF([2]PROMEDIO!G304=0,0,((([2]PROMEDIO!G315/[2]PROMEDIO!G304)/(BALANCE!$C$6))*12)*100)</f>
        <v>7.6186210513340011</v>
      </c>
      <c r="G61" s="155">
        <f>IF([2]PROMEDIO!H304=0,0,((([2]PROMEDIO!H315/[2]PROMEDIO!H304)/(BALANCE!$C$6))*12)*100)</f>
        <v>11.176156848196205</v>
      </c>
      <c r="H61" s="155">
        <f>IF([2]PROMEDIO!I304=0,0,((([2]PROMEDIO!I315/[2]PROMEDIO!I304)/(BALANCE!$C$6))*12)*100)</f>
        <v>9.6250087924714904</v>
      </c>
      <c r="I61" s="155">
        <f>IF([2]PROMEDIO!J304=0,0,((([2]PROMEDIO!J315/[2]PROMEDIO!J304)/(BALANCE!$C$6))*12)*100)</f>
        <v>9.3895694016596103</v>
      </c>
      <c r="J61" s="155">
        <f>IF([2]PROMEDIO!K304=0,0,((([2]PROMEDIO!K315/[2]PROMEDIO!K304)/(BALANCE!$C$6))*12)*100)</f>
        <v>9.2499162722264856</v>
      </c>
      <c r="K61" s="155">
        <f>IF([2]PROMEDIO!L304=0,0,((([2]PROMEDIO!L315/[2]PROMEDIO!L304)/(BALANCE!$C$6))*12)*100)</f>
        <v>6.1441554671706049</v>
      </c>
    </row>
    <row r="62" spans="3:11" x14ac:dyDescent="0.2">
      <c r="C62" s="154"/>
    </row>
    <row r="63" spans="3:11" ht="15" x14ac:dyDescent="0.25">
      <c r="C63" s="153" t="s">
        <v>831</v>
      </c>
    </row>
    <row r="64" spans="3:11" x14ac:dyDescent="0.2">
      <c r="C64" s="154" t="s">
        <v>832</v>
      </c>
      <c r="D64" s="155">
        <f>(BALANCE!D9/BALANCE!D1323)*100</f>
        <v>54.309633814779133</v>
      </c>
      <c r="E64" s="155">
        <f>(BALANCE!E9/BALANCE!E1323)*100</f>
        <v>54.309633814779133</v>
      </c>
      <c r="F64" s="155">
        <f>(BALANCE!F9/BALANCE!F1323)*100</f>
        <v>108.737218181779</v>
      </c>
      <c r="G64" s="155">
        <f>(BALANCE!G9/BALANCE!G1323)*100</f>
        <v>16.896163662696388</v>
      </c>
      <c r="H64" s="155">
        <f>(BALANCE!H9/BALANCE!H1323)*100</f>
        <v>8.7468008231125456</v>
      </c>
      <c r="I64" s="155">
        <f>(BALANCE!I9/BALANCE!I1323)*100</f>
        <v>26.486113782162889</v>
      </c>
      <c r="J64" s="155">
        <f>(BALANCE!J9/BALANCE!J1323)*100</f>
        <v>27.287897940597389</v>
      </c>
      <c r="K64" s="155" t="e">
        <f>(BALANCE!K9/BALANCE!K1323)*100</f>
        <v>#DIV/0!</v>
      </c>
    </row>
    <row r="65" spans="3:11" x14ac:dyDescent="0.2">
      <c r="C65" s="154"/>
    </row>
    <row r="66" spans="3:11" ht="16.5" x14ac:dyDescent="0.2">
      <c r="C66" s="154" t="s">
        <v>833</v>
      </c>
      <c r="D66" s="155" t="e">
        <f>(BALANCE!D1342/BALANCE!D1376)*100</f>
        <v>#REF!</v>
      </c>
      <c r="E66" s="155" t="e">
        <f>(BALANCE!E1342/BALANCE!E1376)*100</f>
        <v>#REF!</v>
      </c>
      <c r="F66" s="155" t="e">
        <f>(BALANCE!F1342/BALANCE!F1376)*100</f>
        <v>#REF!</v>
      </c>
      <c r="G66" s="155" t="e">
        <f>(BALANCE!G1342/BALANCE!G1376)*100</f>
        <v>#REF!</v>
      </c>
      <c r="H66" s="155" t="e">
        <f>(BALANCE!H1342/BALANCE!H1376)*100</f>
        <v>#REF!</v>
      </c>
      <c r="I66" s="155" t="e">
        <f>(BALANCE!I1342/BALANCE!I1376)*100</f>
        <v>#REF!</v>
      </c>
      <c r="J66" s="155" t="e">
        <f>(BALANCE!J1342/BALANCE!J1376)*100</f>
        <v>#REF!</v>
      </c>
      <c r="K66" s="155" t="e">
        <f>(BALANCE!K1342/BALANCE!K1376)*100</f>
        <v>#DIV/0!</v>
      </c>
    </row>
    <row r="67" spans="3:11" ht="16.5" x14ac:dyDescent="0.2">
      <c r="C67" s="154" t="s">
        <v>834</v>
      </c>
      <c r="D67" s="155" t="e">
        <f>(BALANCE!D1356/BALANCE!D1377)*100</f>
        <v>#REF!</v>
      </c>
      <c r="E67" s="155" t="e">
        <f>(BALANCE!E1356/BALANCE!E1377)*100</f>
        <v>#REF!</v>
      </c>
      <c r="F67" s="155" t="e">
        <f>(BALANCE!F1356/BALANCE!F1377)*100</f>
        <v>#REF!</v>
      </c>
      <c r="G67" s="155" t="e">
        <f>(BALANCE!G1356/BALANCE!G1377)*100</f>
        <v>#REF!</v>
      </c>
      <c r="H67" s="155" t="e">
        <f>(BALANCE!H1356/BALANCE!H1377)*100</f>
        <v>#REF!</v>
      </c>
      <c r="I67" s="155" t="e">
        <f>(BALANCE!I1356/BALANCE!I1377)*100</f>
        <v>#REF!</v>
      </c>
      <c r="J67" s="155" t="e">
        <f>(BALANCE!J1356/BALANCE!J1377)*100</f>
        <v>#REF!</v>
      </c>
      <c r="K67" s="155" t="e">
        <f>(BALANCE!K1356/BALANCE!K1377)*100</f>
        <v>#DIV/0!</v>
      </c>
    </row>
    <row r="68" spans="3:11" x14ac:dyDescent="0.2">
      <c r="C68" s="154"/>
    </row>
    <row r="69" spans="3:11" ht="15" x14ac:dyDescent="0.25">
      <c r="C69" s="153" t="s">
        <v>835</v>
      </c>
    </row>
    <row r="70" spans="3:11" ht="16.5" x14ac:dyDescent="0.2">
      <c r="C70" s="154" t="s">
        <v>836</v>
      </c>
      <c r="D70" s="155">
        <f>IF(BALANCE!$C$6=12,BALANCE!D1373,BALANCE!D1372)</f>
        <v>8.8531245137180434</v>
      </c>
      <c r="E70" s="155">
        <f>IF(BALANCE!$C$6=12,BALANCE!E1373,BALANCE!E1372)</f>
        <v>8.8531245137180434</v>
      </c>
      <c r="F70" s="155">
        <f>IF(BALANCE!$C$6=12,BALANCE!F1373,BALANCE!F1372)</f>
        <v>-2.4482972405067223</v>
      </c>
      <c r="G70" s="155">
        <f>IF(BALANCE!$C$6=12,BALANCE!G1373,BALANCE!G1372)</f>
        <v>10.560029536896657</v>
      </c>
      <c r="H70" s="155">
        <f>IF(BALANCE!$C$6=12,BALANCE!H1373,BALANCE!H1372)</f>
        <v>-5.3525706159035472E-2</v>
      </c>
      <c r="I70" s="155">
        <f>IF(BALANCE!$C$6=12,BALANCE!I1373,BALANCE!I1372)</f>
        <v>1.7915232598202837</v>
      </c>
      <c r="J70" s="155">
        <f>IF(BALANCE!$C$6=12,BALANCE!J1373,BALANCE!J1372)</f>
        <v>2.0897291406300722</v>
      </c>
      <c r="K70" s="155">
        <f>IF(BALANCE!$C$6=12,BALANCE!K1373,BALANCE!K1372)</f>
        <v>4.283157951607957</v>
      </c>
    </row>
    <row r="71" spans="3:11" x14ac:dyDescent="0.2">
      <c r="C71" s="154" t="s">
        <v>837</v>
      </c>
      <c r="D71" s="155">
        <f>('COMPOS CART'!D87/BALANCE!D839)*100</f>
        <v>28.449481297080624</v>
      </c>
      <c r="E71" s="155">
        <f>('COMPOS CART'!E87/BALANCE!E839)*100</f>
        <v>28.449481297080624</v>
      </c>
      <c r="F71" s="155">
        <f>('COMPOS CART'!F87/BALANCE!F839)*100</f>
        <v>5.1166684387822993E-2</v>
      </c>
      <c r="G71" s="155">
        <f>('COMPOS CART'!G87/BALANCE!G839)*100</f>
        <v>35.838723132030402</v>
      </c>
      <c r="H71" s="155">
        <f>('COMPOS CART'!H87/BALANCE!H839)*100</f>
        <v>9.0456235477727134</v>
      </c>
      <c r="I71" s="155">
        <f>('COMPOS CART'!I87/BALANCE!I839)*100</f>
        <v>13.53955041131627</v>
      </c>
      <c r="J71" s="155">
        <f>('COMPOS CART'!J87/BALANCE!J839)*100</f>
        <v>14.247607030423476</v>
      </c>
      <c r="K71" s="155">
        <f>('COMPOS CART'!K87/BALANCE!K839)*100</f>
        <v>8.324744456826572</v>
      </c>
    </row>
    <row r="72" spans="3:11" x14ac:dyDescent="0.2">
      <c r="C72" s="154"/>
    </row>
    <row r="73" spans="3:11" x14ac:dyDescent="0.2">
      <c r="C73" s="154" t="s">
        <v>838</v>
      </c>
      <c r="D73" s="155">
        <f>IF(BALANCE!$C$6=12,(BALANCE!D1214-EPyG!D77)/BALANCE!D617,(BALANCE!D1216-EPyG!D77)/BALANCE!D617)*100</f>
        <v>27.0449974058475</v>
      </c>
      <c r="E73" s="155">
        <f>IF(BALANCE!$C$6=12,(BALANCE!E1214-EPyG!E77)/BALANCE!E617,(BALANCE!E1216-EPyG!E77)/BALANCE!E617)*100</f>
        <v>27.0449974058475</v>
      </c>
      <c r="F73" s="155">
        <f>IF(BALANCE!$C$6=12,(BALANCE!F1214-EPyG!F77)/BALANCE!F617,(BALANCE!F1216-EPyG!F77)/BALANCE!F617)*100</f>
        <v>32.417247526900752</v>
      </c>
      <c r="G73" s="155">
        <f>IF(BALANCE!$C$6=12,(BALANCE!G1214-EPyG!G77)/BALANCE!G617,(BALANCE!G1216-EPyG!G77)/BALANCE!G617)*100</f>
        <v>25.289118620358909</v>
      </c>
      <c r="H73" s="155">
        <f>IF(BALANCE!$C$6=12,(BALANCE!H1214-EPyG!H77)/BALANCE!H617,(BALANCE!H1216-EPyG!H77)/BALANCE!H617)*100</f>
        <v>38.533137592677761</v>
      </c>
      <c r="I73" s="155">
        <f>IF(BALANCE!$C$6=12,(BALANCE!I1214-EPyG!I77)/BALANCE!I617,(BALANCE!I1216-EPyG!I77)/BALANCE!I617)*100</f>
        <v>32.969658896641249</v>
      </c>
      <c r="J73" s="155">
        <f>IF(BALANCE!$C$6=12,(BALANCE!J1214-EPyG!J77)/BALANCE!J617,(BALANCE!J1216-EPyG!J77)/BALANCE!J617)*100</f>
        <v>32.683171603984377</v>
      </c>
      <c r="K73" s="155">
        <f>IF(BALANCE!$C$6=12,(BALANCE!K1214-EPyG!K77)/BALANCE!K617,(BALANCE!K1216-EPyG!K77)/BALANCE!K617)*100</f>
        <v>89.961161443803817</v>
      </c>
    </row>
    <row r="74" spans="3:11" x14ac:dyDescent="0.2">
      <c r="C74" s="154" t="s">
        <v>839</v>
      </c>
      <c r="D74" s="155">
        <f>((1*100)+D14)</f>
        <v>116.05118045203548</v>
      </c>
      <c r="E74" s="155">
        <f t="shared" ref="E74:K74" si="0">((1*100)+E14)</f>
        <v>116.05118045203548</v>
      </c>
      <c r="F74" s="155">
        <f t="shared" si="0"/>
        <v>105.45130538341721</v>
      </c>
      <c r="G74" s="155">
        <f t="shared" si="0"/>
        <v>127.06308293492761</v>
      </c>
      <c r="H74" s="155">
        <f t="shared" si="0"/>
        <v>107.32852027896179</v>
      </c>
      <c r="I74" s="155">
        <f t="shared" si="0"/>
        <v>112.66171451099189</v>
      </c>
      <c r="J74" s="155">
        <f t="shared" si="0"/>
        <v>112.82561230034426</v>
      </c>
      <c r="K74" s="155">
        <f t="shared" si="0"/>
        <v>106.9700646668429</v>
      </c>
    </row>
    <row r="75" spans="3:11" x14ac:dyDescent="0.2">
      <c r="C75" s="156" t="s">
        <v>840</v>
      </c>
      <c r="D75" s="155">
        <f>(D73/D74)*100</f>
        <v>23.304370796146561</v>
      </c>
      <c r="E75" s="155">
        <f t="shared" ref="E75:K75" si="1">(E73/E74)*100</f>
        <v>23.304370796146561</v>
      </c>
      <c r="F75" s="155">
        <f t="shared" si="1"/>
        <v>30.741437869386999</v>
      </c>
      <c r="G75" s="155">
        <f t="shared" si="1"/>
        <v>19.902805784517398</v>
      </c>
      <c r="H75" s="155">
        <f t="shared" si="1"/>
        <v>35.902048674969862</v>
      </c>
      <c r="I75" s="155">
        <f t="shared" si="1"/>
        <v>29.264297139224304</v>
      </c>
      <c r="J75" s="155">
        <f t="shared" si="1"/>
        <v>28.967865485171096</v>
      </c>
      <c r="K75" s="155">
        <f t="shared" si="1"/>
        <v>84.099380255576051</v>
      </c>
    </row>
    <row r="76" spans="3:11" ht="15" x14ac:dyDescent="0.25">
      <c r="C76" s="157" t="s">
        <v>841</v>
      </c>
    </row>
    <row r="77" spans="3:11" x14ac:dyDescent="0.2">
      <c r="C77" s="156" t="str">
        <f>CONCATENATE("PT / ACT. Y CONTING. POND. RIESGO al "&amp;TEXT('[1]PT WEB1'!B2,"dd-mmm-yyyy"))</f>
        <v>PT / ACT. Y CONTING. POND. RIESGO al 31 de DICIEMBRE de 2011</v>
      </c>
      <c r="D77" s="11">
        <v>11.93</v>
      </c>
      <c r="E77" s="11">
        <v>10.299999999999999</v>
      </c>
      <c r="F77" s="11">
        <v>15.06</v>
      </c>
      <c r="G77" s="11">
        <v>15.06</v>
      </c>
      <c r="H77" s="11">
        <v>13.96</v>
      </c>
      <c r="I77" s="11">
        <v>14.790000000000001</v>
      </c>
      <c r="J77" s="11">
        <v>17.64</v>
      </c>
      <c r="K77" s="11">
        <v>18.75</v>
      </c>
    </row>
    <row r="79" spans="3:11" ht="15" x14ac:dyDescent="0.25">
      <c r="C79" s="13" t="s">
        <v>591</v>
      </c>
    </row>
    <row r="80" spans="3:11" ht="15" x14ac:dyDescent="0.25">
      <c r="C80" s="13" t="s">
        <v>592</v>
      </c>
    </row>
    <row r="81" spans="3:3" x14ac:dyDescent="0.2">
      <c r="C81" s="158" t="s">
        <v>842</v>
      </c>
    </row>
    <row r="82" spans="3:3" x14ac:dyDescent="0.2">
      <c r="C82" s="158" t="s">
        <v>843</v>
      </c>
    </row>
    <row r="83" spans="3:3" x14ac:dyDescent="0.2">
      <c r="C83" s="158" t="s">
        <v>844</v>
      </c>
    </row>
    <row r="84" spans="3:3" x14ac:dyDescent="0.2">
      <c r="C84" s="158" t="s">
        <v>845</v>
      </c>
    </row>
    <row r="85" spans="3:3" x14ac:dyDescent="0.2">
      <c r="C85" s="158" t="s">
        <v>846</v>
      </c>
    </row>
    <row r="86" spans="3:3" x14ac:dyDescent="0.2">
      <c r="C86" s="158" t="s">
        <v>847</v>
      </c>
    </row>
    <row r="87" spans="3:3" x14ac:dyDescent="0.2">
      <c r="C87" s="158" t="s">
        <v>848</v>
      </c>
    </row>
    <row r="88" spans="3:3" x14ac:dyDescent="0.2">
      <c r="C88" s="158"/>
    </row>
    <row r="89" spans="3:3" x14ac:dyDescent="0.2">
      <c r="C89" s="158"/>
    </row>
    <row r="90" spans="3:3" x14ac:dyDescent="0.2">
      <c r="C90" s="15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zoomScale="75" zoomScaleNormal="75" workbookViewId="0">
      <selection activeCell="A2" sqref="A2"/>
    </sheetView>
  </sheetViews>
  <sheetFormatPr baseColWidth="10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</row>
    <row r="2" spans="2:34" s="2" customFormat="1" x14ac:dyDescent="0.2"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</row>
    <row r="3" spans="2:34" s="2" customFormat="1" ht="15" x14ac:dyDescent="0.25">
      <c r="B3" s="159" t="str">
        <f>'[1]BAL SAB II'!B3</f>
        <v>SISTEMA DE COOPERATIVAS DE AHORRO Y CRÉDITO</v>
      </c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</row>
    <row r="4" spans="2:34" s="2" customFormat="1" ht="15" x14ac:dyDescent="0.25">
      <c r="B4" s="73">
        <f>'[1]BAL SAB II'!B4</f>
        <v>41121</v>
      </c>
      <c r="C4" s="160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</row>
    <row r="5" spans="2:34" s="2" customFormat="1" x14ac:dyDescent="0.2"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</row>
    <row r="6" spans="2:34" s="116" customFormat="1" ht="45" x14ac:dyDescent="0.2">
      <c r="B6" s="16" t="s">
        <v>3</v>
      </c>
      <c r="C6" s="136" t="s">
        <v>4</v>
      </c>
      <c r="D6" s="18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18" t="s">
        <v>10</v>
      </c>
      <c r="J6" s="18" t="s">
        <v>11</v>
      </c>
      <c r="K6" s="58" t="s">
        <v>12</v>
      </c>
    </row>
    <row r="7" spans="2:34" x14ac:dyDescent="0.2">
      <c r="B7" s="74"/>
      <c r="C7" s="62"/>
      <c r="D7" s="62"/>
      <c r="E7" s="62"/>
      <c r="F7" s="62"/>
      <c r="G7" s="62"/>
      <c r="H7" s="62"/>
      <c r="I7" s="62"/>
      <c r="J7" s="62"/>
      <c r="K7" s="62"/>
    </row>
    <row r="8" spans="2:34" ht="15" x14ac:dyDescent="0.25">
      <c r="B8" s="153"/>
      <c r="C8" s="14" t="s">
        <v>822</v>
      </c>
      <c r="D8" s="65">
        <f>SUM(D9:D13)</f>
        <v>149279.93072999999</v>
      </c>
      <c r="E8" s="65">
        <f t="shared" ref="E8:K8" si="0">SUM(E9:E13)</f>
        <v>149279.93072999999</v>
      </c>
      <c r="F8" s="65">
        <f t="shared" si="0"/>
        <v>0</v>
      </c>
      <c r="G8" s="65">
        <f t="shared" si="0"/>
        <v>498342.79978</v>
      </c>
      <c r="H8" s="65">
        <f t="shared" si="0"/>
        <v>1094930.13634</v>
      </c>
      <c r="I8" s="65">
        <f t="shared" si="0"/>
        <v>1593272.9361200002</v>
      </c>
      <c r="J8" s="65">
        <f t="shared" si="0"/>
        <v>1742552.8668500001</v>
      </c>
      <c r="K8" s="65">
        <f t="shared" si="0"/>
        <v>0</v>
      </c>
    </row>
    <row r="9" spans="2:34" x14ac:dyDescent="0.2">
      <c r="B9" s="161" t="s">
        <v>849</v>
      </c>
      <c r="C9" s="3" t="s">
        <v>850</v>
      </c>
      <c r="D9" s="67">
        <f>+BALANCE!D88+BALANCE!D124+BALANCE!D160</f>
        <v>6712.5197200000002</v>
      </c>
      <c r="E9" s="67">
        <f>+BALANCE!E88+BALANCE!E124+BALANCE!E160</f>
        <v>6712.5197200000002</v>
      </c>
      <c r="F9" s="67">
        <f>+BALANCE!F88+BALANCE!F124+BALANCE!F160</f>
        <v>0</v>
      </c>
      <c r="G9" s="67">
        <f>+BALANCE!G88+BALANCE!G124+BALANCE!G160</f>
        <v>21159.525570000002</v>
      </c>
      <c r="H9" s="67">
        <f>+BALANCE!H88+BALANCE!H124+BALANCE!H160</f>
        <v>33474.689470000005</v>
      </c>
      <c r="I9" s="67">
        <f>+BALANCE!I88+BALANCE!I124+BALANCE!I160</f>
        <v>54634.21504000001</v>
      </c>
      <c r="J9" s="67">
        <f>+BALANCE!J88+BALANCE!J124+BALANCE!J160</f>
        <v>61346.734760000007</v>
      </c>
      <c r="K9" s="67">
        <f>+BALANCE!K88+BALANCE!K124+BALANCE!K160</f>
        <v>0</v>
      </c>
    </row>
    <row r="10" spans="2:34" x14ac:dyDescent="0.2">
      <c r="B10" s="161" t="s">
        <v>851</v>
      </c>
      <c r="C10" s="3" t="s">
        <v>852</v>
      </c>
      <c r="D10" s="67">
        <f>+BALANCE!D89+BALANCE!D125+BALANCE!D161</f>
        <v>12500.96263</v>
      </c>
      <c r="E10" s="67">
        <f>+BALANCE!E89+BALANCE!E125+BALANCE!E161</f>
        <v>12500.96263</v>
      </c>
      <c r="F10" s="67">
        <f>+BALANCE!F89+BALANCE!F125+BALANCE!F161</f>
        <v>0</v>
      </c>
      <c r="G10" s="67">
        <f>+BALANCE!G89+BALANCE!G125+BALANCE!G161</f>
        <v>28158.566069999997</v>
      </c>
      <c r="H10" s="67">
        <f>+BALANCE!H89+BALANCE!H125+BALANCE!H161</f>
        <v>54793.70536</v>
      </c>
      <c r="I10" s="67">
        <f>+BALANCE!I89+BALANCE!I125+BALANCE!I161</f>
        <v>82952.271429999993</v>
      </c>
      <c r="J10" s="67">
        <f>+BALANCE!J89+BALANCE!J125+BALANCE!J161</f>
        <v>95453.234059999988</v>
      </c>
      <c r="K10" s="67">
        <f>+BALANCE!K89+BALANCE!K125+BALANCE!K161</f>
        <v>0</v>
      </c>
    </row>
    <row r="11" spans="2:34" x14ac:dyDescent="0.2">
      <c r="B11" s="161" t="s">
        <v>853</v>
      </c>
      <c r="C11" s="3" t="s">
        <v>854</v>
      </c>
      <c r="D11" s="67">
        <f>+BALANCE!D90+BALANCE!D126+BALANCE!D162</f>
        <v>19160.462370000001</v>
      </c>
      <c r="E11" s="67">
        <f>+BALANCE!E90+BALANCE!E126+BALANCE!E162</f>
        <v>19160.462370000001</v>
      </c>
      <c r="F11" s="67">
        <f>+BALANCE!F90+BALANCE!F126+BALANCE!F162</f>
        <v>0</v>
      </c>
      <c r="G11" s="67">
        <f>+BALANCE!G90+BALANCE!G126+BALANCE!G162</f>
        <v>42912.339229999998</v>
      </c>
      <c r="H11" s="67">
        <f>+BALANCE!H90+BALANCE!H126+BALANCE!H162</f>
        <v>79904.446769999995</v>
      </c>
      <c r="I11" s="67">
        <f>+BALANCE!I90+BALANCE!I126+BALANCE!I162</f>
        <v>122816.78600000001</v>
      </c>
      <c r="J11" s="67">
        <f>+BALANCE!J90+BALANCE!J126+BALANCE!J162</f>
        <v>141977.24836999999</v>
      </c>
      <c r="K11" s="67">
        <f>+BALANCE!K90+BALANCE!K126+BALANCE!K162</f>
        <v>0</v>
      </c>
    </row>
    <row r="12" spans="2:34" x14ac:dyDescent="0.2">
      <c r="B12" s="161" t="s">
        <v>855</v>
      </c>
      <c r="C12" s="3" t="s">
        <v>856</v>
      </c>
      <c r="D12" s="67">
        <f>+BALANCE!D91+BALANCE!D127+BALANCE!D163</f>
        <v>35680.758459999997</v>
      </c>
      <c r="E12" s="67">
        <f>+BALANCE!E91+BALANCE!E127+BALANCE!E163</f>
        <v>35680.758459999997</v>
      </c>
      <c r="F12" s="67">
        <f>+BALANCE!F91+BALANCE!F127+BALANCE!F163</f>
        <v>0</v>
      </c>
      <c r="G12" s="67">
        <f>+BALANCE!G91+BALANCE!G127+BALANCE!G163</f>
        <v>81936.319820000004</v>
      </c>
      <c r="H12" s="67">
        <f>+BALANCE!H91+BALANCE!H127+BALANCE!H163</f>
        <v>124265.15639999999</v>
      </c>
      <c r="I12" s="67">
        <f>+BALANCE!I91+BALANCE!I127+BALANCE!I163</f>
        <v>206201.47622000001</v>
      </c>
      <c r="J12" s="67">
        <f>+BALANCE!J91+BALANCE!J127+BALANCE!J163</f>
        <v>241882.23467999999</v>
      </c>
      <c r="K12" s="67">
        <f>+BALANCE!K91+BALANCE!K127+BALANCE!K163</f>
        <v>0</v>
      </c>
    </row>
    <row r="13" spans="2:34" x14ac:dyDescent="0.2">
      <c r="B13" s="161" t="s">
        <v>857</v>
      </c>
      <c r="C13" s="3" t="s">
        <v>858</v>
      </c>
      <c r="D13" s="67">
        <f>+BALANCE!D92+BALANCE!D128+BALANCE!D164</f>
        <v>75225.227549999996</v>
      </c>
      <c r="E13" s="67">
        <f>+BALANCE!E92+BALANCE!E128+BALANCE!E164</f>
        <v>75225.227549999996</v>
      </c>
      <c r="F13" s="67">
        <f>+BALANCE!F92+BALANCE!F128+BALANCE!F164</f>
        <v>0</v>
      </c>
      <c r="G13" s="67">
        <f>+BALANCE!G92+BALANCE!G128+BALANCE!G164</f>
        <v>324176.04908999999</v>
      </c>
      <c r="H13" s="67">
        <f>+BALANCE!H92+BALANCE!H128+BALANCE!H164</f>
        <v>802492.13834000006</v>
      </c>
      <c r="I13" s="67">
        <f>+BALANCE!I92+BALANCE!I128+BALANCE!I164</f>
        <v>1126668.1874300002</v>
      </c>
      <c r="J13" s="67">
        <f>+BALANCE!J92+BALANCE!J128+BALANCE!J164</f>
        <v>1201893.4149800001</v>
      </c>
      <c r="K13" s="67">
        <f>+BALANCE!K92+BALANCE!K128+BALANCE!K164</f>
        <v>0</v>
      </c>
    </row>
    <row r="14" spans="2:34" x14ac:dyDescent="0.2">
      <c r="B14" s="20"/>
      <c r="C14" s="21"/>
      <c r="D14" s="67"/>
      <c r="E14" s="67"/>
      <c r="F14" s="67"/>
      <c r="G14" s="67"/>
      <c r="H14" s="67"/>
      <c r="I14" s="67"/>
      <c r="J14" s="67"/>
      <c r="K14" s="67"/>
    </row>
    <row r="15" spans="2:34" ht="15" x14ac:dyDescent="0.25">
      <c r="B15" s="153"/>
      <c r="C15" s="14" t="s">
        <v>859</v>
      </c>
      <c r="D15" s="65">
        <f>SUM(D16:D20)</f>
        <v>13415.239049999998</v>
      </c>
      <c r="E15" s="65">
        <f t="shared" ref="E15:K15" si="1">SUM(E16:E20)</f>
        <v>13415.239049999998</v>
      </c>
      <c r="F15" s="65">
        <f t="shared" si="1"/>
        <v>0</v>
      </c>
      <c r="G15" s="65">
        <f t="shared" si="1"/>
        <v>74459.725940000004</v>
      </c>
      <c r="H15" s="65">
        <f t="shared" si="1"/>
        <v>23660.156729999999</v>
      </c>
      <c r="I15" s="65">
        <f t="shared" si="1"/>
        <v>98119.882670000006</v>
      </c>
      <c r="J15" s="65">
        <f t="shared" si="1"/>
        <v>111535.12172</v>
      </c>
      <c r="K15" s="65">
        <f t="shared" si="1"/>
        <v>0</v>
      </c>
    </row>
    <row r="16" spans="2:34" x14ac:dyDescent="0.2">
      <c r="B16" s="161" t="s">
        <v>860</v>
      </c>
      <c r="C16" s="3" t="s">
        <v>850</v>
      </c>
      <c r="D16" s="67">
        <f>+BALANCE!D196+BALANCE!D232+BALANCE!D268</f>
        <v>4440.9949999999999</v>
      </c>
      <c r="E16" s="67">
        <f>+BALANCE!E196+BALANCE!E232+BALANCE!E268</f>
        <v>4440.9949999999999</v>
      </c>
      <c r="F16" s="67">
        <f>+BALANCE!F196+BALANCE!F232+BALANCE!F268</f>
        <v>0</v>
      </c>
      <c r="G16" s="67">
        <f>+BALANCE!G196+BALANCE!G232+BALANCE!G268</f>
        <v>6222.1498700000002</v>
      </c>
      <c r="H16" s="67">
        <f>+BALANCE!H196+BALANCE!H232+BALANCE!H268</f>
        <v>1354.24972</v>
      </c>
      <c r="I16" s="67">
        <f>+BALANCE!I196+BALANCE!I232+BALANCE!I268</f>
        <v>7576.39959</v>
      </c>
      <c r="J16" s="67">
        <f>+BALANCE!J196+BALANCE!J232+BALANCE!J268</f>
        <v>12017.39459</v>
      </c>
      <c r="K16" s="67">
        <f>+BALANCE!K196+BALANCE!K232+BALANCE!K268</f>
        <v>0</v>
      </c>
    </row>
    <row r="17" spans="2:11" x14ac:dyDescent="0.2">
      <c r="B17" s="161" t="s">
        <v>861</v>
      </c>
      <c r="C17" s="3" t="s">
        <v>852</v>
      </c>
      <c r="D17" s="67">
        <f>+BALANCE!D197+BALANCE!D233+BALANCE!D269</f>
        <v>2610.3197799999998</v>
      </c>
      <c r="E17" s="67">
        <f>+BALANCE!E197+BALANCE!E233+BALANCE!E269</f>
        <v>2610.3197799999998</v>
      </c>
      <c r="F17" s="67">
        <f>+BALANCE!F197+BALANCE!F233+BALANCE!F269</f>
        <v>0</v>
      </c>
      <c r="G17" s="67">
        <f>+BALANCE!G197+BALANCE!G233+BALANCE!G269</f>
        <v>5664.2759499999993</v>
      </c>
      <c r="H17" s="67">
        <f>+BALANCE!H197+BALANCE!H233+BALANCE!H269</f>
        <v>827.32650000000001</v>
      </c>
      <c r="I17" s="67">
        <f>+BALANCE!I197+BALANCE!I233+BALANCE!I269</f>
        <v>6491.6024499999994</v>
      </c>
      <c r="J17" s="67">
        <f>+BALANCE!J197+BALANCE!J233+BALANCE!J269</f>
        <v>9101.9222300000001</v>
      </c>
      <c r="K17" s="67">
        <f>+BALANCE!K197+BALANCE!K233+BALANCE!K269</f>
        <v>0</v>
      </c>
    </row>
    <row r="18" spans="2:11" x14ac:dyDescent="0.2">
      <c r="B18" s="161" t="s">
        <v>862</v>
      </c>
      <c r="C18" s="3" t="s">
        <v>854</v>
      </c>
      <c r="D18" s="67">
        <f>+BALANCE!D198+BALANCE!D234+BALANCE!D270</f>
        <v>2891.31061</v>
      </c>
      <c r="E18" s="67">
        <f>+BALANCE!E198+BALANCE!E234+BALANCE!E270</f>
        <v>2891.31061</v>
      </c>
      <c r="F18" s="67">
        <f>+BALANCE!F198+BALANCE!F234+BALANCE!F270</f>
        <v>0</v>
      </c>
      <c r="G18" s="67">
        <f>+BALANCE!G198+BALANCE!G234+BALANCE!G270</f>
        <v>7729.0656399999998</v>
      </c>
      <c r="H18" s="67">
        <f>+BALANCE!H198+BALANCE!H234+BALANCE!H270</f>
        <v>1576.8505600000001</v>
      </c>
      <c r="I18" s="67">
        <f>+BALANCE!I198+BALANCE!I234+BALANCE!I270</f>
        <v>9305.9161999999997</v>
      </c>
      <c r="J18" s="67">
        <f>+BALANCE!J198+BALANCE!J234+BALANCE!J270</f>
        <v>12197.22681</v>
      </c>
      <c r="K18" s="67">
        <f>+BALANCE!K198+BALANCE!K234+BALANCE!K270</f>
        <v>0</v>
      </c>
    </row>
    <row r="19" spans="2:11" x14ac:dyDescent="0.2">
      <c r="B19" s="161" t="s">
        <v>863</v>
      </c>
      <c r="C19" s="3" t="s">
        <v>856</v>
      </c>
      <c r="D19" s="67">
        <f>+BALANCE!D199+BALANCE!D235+BALANCE!D271</f>
        <v>2998.7189100000001</v>
      </c>
      <c r="E19" s="67">
        <f>+BALANCE!E199+BALANCE!E235+BALANCE!E271</f>
        <v>2998.7189100000001</v>
      </c>
      <c r="F19" s="67">
        <f>+BALANCE!F199+BALANCE!F235+BALANCE!F271</f>
        <v>0</v>
      </c>
      <c r="G19" s="67">
        <f>+BALANCE!G199+BALANCE!G235+BALANCE!G271</f>
        <v>14283.334859999999</v>
      </c>
      <c r="H19" s="67">
        <f>+BALANCE!H199+BALANCE!H235+BALANCE!H271</f>
        <v>2719.7521000000002</v>
      </c>
      <c r="I19" s="67">
        <f>+BALANCE!I199+BALANCE!I235+BALANCE!I271</f>
        <v>17003.086960000001</v>
      </c>
      <c r="J19" s="67">
        <f>+BALANCE!J199+BALANCE!J235+BALANCE!J271</f>
        <v>20001.80587</v>
      </c>
      <c r="K19" s="67">
        <f>+BALANCE!K199+BALANCE!K235+BALANCE!K271</f>
        <v>0</v>
      </c>
    </row>
    <row r="20" spans="2:11" x14ac:dyDescent="0.2">
      <c r="B20" s="161" t="s">
        <v>864</v>
      </c>
      <c r="C20" s="3" t="s">
        <v>858</v>
      </c>
      <c r="D20" s="67">
        <f>+BALANCE!D200+BALANCE!D236+BALANCE!D272</f>
        <v>473.89474999999999</v>
      </c>
      <c r="E20" s="67">
        <f>+BALANCE!E200+BALANCE!E236+BALANCE!E272</f>
        <v>473.89474999999999</v>
      </c>
      <c r="F20" s="67">
        <f>+BALANCE!F200+BALANCE!F236+BALANCE!F272</f>
        <v>0</v>
      </c>
      <c r="G20" s="67">
        <f>+BALANCE!G200+BALANCE!G236+BALANCE!G272</f>
        <v>40560.899620000004</v>
      </c>
      <c r="H20" s="67">
        <f>+BALANCE!H200+BALANCE!H236+BALANCE!H272</f>
        <v>17181.977849999999</v>
      </c>
      <c r="I20" s="67">
        <f>+BALANCE!I200+BALANCE!I236+BALANCE!I272</f>
        <v>57742.877470000007</v>
      </c>
      <c r="J20" s="67">
        <f>+BALANCE!J200+BALANCE!J236+BALANCE!J272</f>
        <v>58216.772219999999</v>
      </c>
      <c r="K20" s="67">
        <f>+BALANCE!K200+BALANCE!K236+BALANCE!K272</f>
        <v>0</v>
      </c>
    </row>
    <row r="21" spans="2:11" x14ac:dyDescent="0.2">
      <c r="B21" s="20"/>
      <c r="C21" s="21"/>
      <c r="D21" s="67"/>
      <c r="E21" s="67"/>
      <c r="F21" s="67"/>
      <c r="G21" s="67"/>
      <c r="H21" s="67"/>
      <c r="I21" s="67"/>
      <c r="J21" s="67"/>
      <c r="K21" s="67"/>
    </row>
    <row r="22" spans="2:11" ht="15" x14ac:dyDescent="0.25">
      <c r="B22" s="153"/>
      <c r="C22" s="14" t="s">
        <v>865</v>
      </c>
      <c r="D22" s="65">
        <f>SUM(D23:D27)</f>
        <v>9005.1311499999993</v>
      </c>
      <c r="E22" s="65">
        <f t="shared" ref="E22:K22" si="2">SUM(E23:E27)</f>
        <v>9005.1311499999993</v>
      </c>
      <c r="F22" s="65">
        <f t="shared" si="2"/>
        <v>0</v>
      </c>
      <c r="G22" s="65">
        <f t="shared" si="2"/>
        <v>52295.167959999999</v>
      </c>
      <c r="H22" s="65">
        <f t="shared" si="2"/>
        <v>45790.127959999998</v>
      </c>
      <c r="I22" s="65">
        <f t="shared" si="2"/>
        <v>98085.295920000004</v>
      </c>
      <c r="J22" s="65">
        <f t="shared" si="2"/>
        <v>107090.42707000001</v>
      </c>
      <c r="K22" s="65">
        <f t="shared" si="2"/>
        <v>0</v>
      </c>
    </row>
    <row r="23" spans="2:11" x14ac:dyDescent="0.2">
      <c r="B23" s="161" t="s">
        <v>866</v>
      </c>
      <c r="C23" s="3" t="s">
        <v>850</v>
      </c>
      <c r="D23" s="67">
        <f>+BALANCE!D304+BALANCE!D341+BALANCE!D378</f>
        <v>0</v>
      </c>
      <c r="E23" s="67">
        <f>+BALANCE!E304+BALANCE!E341+BALANCE!E378</f>
        <v>0</v>
      </c>
      <c r="F23" s="67">
        <f>+BALANCE!F304+BALANCE!F341+BALANCE!F378</f>
        <v>0</v>
      </c>
      <c r="G23" s="67">
        <f>+BALANCE!G304+BALANCE!G341+BALANCE!G378</f>
        <v>0</v>
      </c>
      <c r="H23" s="67">
        <f>+BALANCE!H304+BALANCE!H341+BALANCE!H378</f>
        <v>0</v>
      </c>
      <c r="I23" s="67">
        <f>+BALANCE!I304+BALANCE!I341+BALANCE!I378</f>
        <v>0</v>
      </c>
      <c r="J23" s="67">
        <f>+BALANCE!J304+BALANCE!J341+BALANCE!J378</f>
        <v>0</v>
      </c>
      <c r="K23" s="67">
        <f>+BALANCE!K304+BALANCE!K341+BALANCE!K378</f>
        <v>0</v>
      </c>
    </row>
    <row r="24" spans="2:11" x14ac:dyDescent="0.2">
      <c r="B24" s="161" t="s">
        <v>867</v>
      </c>
      <c r="C24" s="3" t="s">
        <v>852</v>
      </c>
      <c r="D24" s="67">
        <f>+BALANCE!D305+BALANCE!D342+BALANCE!D379</f>
        <v>2199.8741500000001</v>
      </c>
      <c r="E24" s="67">
        <f>+BALANCE!E305+BALANCE!E342+BALANCE!E379</f>
        <v>2199.8741500000001</v>
      </c>
      <c r="F24" s="67">
        <f>+BALANCE!F305+BALANCE!F342+BALANCE!F379</f>
        <v>0</v>
      </c>
      <c r="G24" s="67">
        <f>+BALANCE!G305+BALANCE!G342+BALANCE!G379</f>
        <v>7135.8140899999999</v>
      </c>
      <c r="H24" s="67">
        <f>+BALANCE!H305+BALANCE!H342+BALANCE!H379</f>
        <v>3707.5576799999999</v>
      </c>
      <c r="I24" s="67">
        <f>+BALANCE!I305+BALANCE!I342+BALANCE!I379</f>
        <v>10843.37177</v>
      </c>
      <c r="J24" s="67">
        <f>+BALANCE!J305+BALANCE!J342+BALANCE!J379</f>
        <v>13043.245919999999</v>
      </c>
      <c r="K24" s="67">
        <f>+BALANCE!K305+BALANCE!K342+BALANCE!K379</f>
        <v>0</v>
      </c>
    </row>
    <row r="25" spans="2:11" x14ac:dyDescent="0.2">
      <c r="B25" s="161" t="s">
        <v>868</v>
      </c>
      <c r="C25" s="3" t="s">
        <v>854</v>
      </c>
      <c r="D25" s="67">
        <f>+BALANCE!D306+BALANCE!D343+BALANCE!D380</f>
        <v>3600.3991299999998</v>
      </c>
      <c r="E25" s="67">
        <f>+BALANCE!E306+BALANCE!E343+BALANCE!E380</f>
        <v>3600.3991299999998</v>
      </c>
      <c r="F25" s="67">
        <f>+BALANCE!F306+BALANCE!F343+BALANCE!F380</f>
        <v>0</v>
      </c>
      <c r="G25" s="67">
        <f>+BALANCE!G306+BALANCE!G343+BALANCE!G380</f>
        <v>10391.299159999999</v>
      </c>
      <c r="H25" s="67">
        <f>+BALANCE!H306+BALANCE!H343+BALANCE!H380</f>
        <v>4275.1885700000003</v>
      </c>
      <c r="I25" s="67">
        <f>+BALANCE!I306+BALANCE!I343+BALANCE!I380</f>
        <v>14666.487730000001</v>
      </c>
      <c r="J25" s="67">
        <f>+BALANCE!J306+BALANCE!J343+BALANCE!J380</f>
        <v>18266.886859999999</v>
      </c>
      <c r="K25" s="67">
        <f>+BALANCE!K306+BALANCE!K343+BALANCE!K380</f>
        <v>0</v>
      </c>
    </row>
    <row r="26" spans="2:11" x14ac:dyDescent="0.2">
      <c r="B26" s="161" t="s">
        <v>869</v>
      </c>
      <c r="C26" s="3" t="s">
        <v>856</v>
      </c>
      <c r="D26" s="67">
        <f>+BALANCE!D307+BALANCE!D344+BALANCE!D381</f>
        <v>2818.7514200000001</v>
      </c>
      <c r="E26" s="67">
        <f>+BALANCE!E307+BALANCE!E344+BALANCE!E381</f>
        <v>2818.7514200000001</v>
      </c>
      <c r="F26" s="67">
        <f>+BALANCE!F307+BALANCE!F344+BALANCE!F381</f>
        <v>0</v>
      </c>
      <c r="G26" s="67">
        <f>+BALANCE!G307+BALANCE!G344+BALANCE!G381</f>
        <v>15610.82532</v>
      </c>
      <c r="H26" s="67">
        <f>+BALANCE!H307+BALANCE!H344+BALANCE!H381</f>
        <v>7595.4603100000004</v>
      </c>
      <c r="I26" s="67">
        <f>+BALANCE!I307+BALANCE!I344+BALANCE!I381</f>
        <v>23206.285629999998</v>
      </c>
      <c r="J26" s="67">
        <f>+BALANCE!J307+BALANCE!J344+BALANCE!J381</f>
        <v>26025.037049999999</v>
      </c>
      <c r="K26" s="67">
        <f>+BALANCE!K307+BALANCE!K344+BALANCE!K381</f>
        <v>0</v>
      </c>
    </row>
    <row r="27" spans="2:11" x14ac:dyDescent="0.2">
      <c r="B27" s="161" t="s">
        <v>870</v>
      </c>
      <c r="C27" s="3" t="s">
        <v>858</v>
      </c>
      <c r="D27" s="67">
        <f>+BALANCE!D308+BALANCE!D345+BALANCE!D382</f>
        <v>386.10645</v>
      </c>
      <c r="E27" s="67">
        <f>+BALANCE!E308+BALANCE!E345+BALANCE!E382</f>
        <v>386.10645</v>
      </c>
      <c r="F27" s="67">
        <f>+BALANCE!F308+BALANCE!F345+BALANCE!F382</f>
        <v>0</v>
      </c>
      <c r="G27" s="67">
        <f>+BALANCE!G308+BALANCE!G345+BALANCE!G382</f>
        <v>19157.22939</v>
      </c>
      <c r="H27" s="67">
        <f>+BALANCE!H308+BALANCE!H345+BALANCE!H382</f>
        <v>30211.921399999999</v>
      </c>
      <c r="I27" s="67">
        <f>+BALANCE!I308+BALANCE!I345+BALANCE!I382</f>
        <v>49369.15079</v>
      </c>
      <c r="J27" s="67">
        <f>+BALANCE!J308+BALANCE!J345+BALANCE!J382</f>
        <v>49755.257239999999</v>
      </c>
      <c r="K27" s="67">
        <f>+BALANCE!K308+BALANCE!K345+BALANCE!K382</f>
        <v>0</v>
      </c>
    </row>
    <row r="28" spans="2:11" x14ac:dyDescent="0.2">
      <c r="B28" s="20"/>
      <c r="C28" s="21"/>
      <c r="D28" s="67"/>
      <c r="E28" s="67"/>
      <c r="F28" s="67"/>
      <c r="G28" s="67"/>
      <c r="H28" s="67"/>
      <c r="I28" s="67"/>
      <c r="J28" s="67"/>
      <c r="K28" s="67"/>
    </row>
    <row r="29" spans="2:11" ht="15" x14ac:dyDescent="0.25">
      <c r="B29" s="153"/>
      <c r="C29" s="14" t="s">
        <v>871</v>
      </c>
      <c r="D29" s="65">
        <f>SUM(D30:D34)</f>
        <v>0</v>
      </c>
      <c r="E29" s="65">
        <f t="shared" ref="E29:K29" si="3">SUM(E30:E34)</f>
        <v>0</v>
      </c>
      <c r="F29" s="65">
        <f t="shared" si="3"/>
        <v>0</v>
      </c>
      <c r="G29" s="65">
        <f t="shared" si="3"/>
        <v>26919.347500000003</v>
      </c>
      <c r="H29" s="65">
        <f t="shared" si="3"/>
        <v>0</v>
      </c>
      <c r="I29" s="65">
        <f t="shared" si="3"/>
        <v>26919.347500000003</v>
      </c>
      <c r="J29" s="65">
        <f t="shared" si="3"/>
        <v>26919.347500000003</v>
      </c>
      <c r="K29" s="65">
        <f t="shared" si="3"/>
        <v>0</v>
      </c>
    </row>
    <row r="30" spans="2:11" x14ac:dyDescent="0.2">
      <c r="B30" s="161" t="s">
        <v>872</v>
      </c>
      <c r="C30" s="3" t="s">
        <v>850</v>
      </c>
      <c r="D30" s="67">
        <f>+BALANCE!D94+BALANCE!D130+BALANCE!D166</f>
        <v>0</v>
      </c>
      <c r="E30" s="67">
        <f>+BALANCE!E94+BALANCE!E130+BALANCE!E166</f>
        <v>0</v>
      </c>
      <c r="F30" s="67">
        <f>+BALANCE!F94+BALANCE!F130+BALANCE!F166</f>
        <v>0</v>
      </c>
      <c r="G30" s="67">
        <f>+BALANCE!G94+BALANCE!G130+BALANCE!G166</f>
        <v>1600.0984700000001</v>
      </c>
      <c r="H30" s="67">
        <f>+BALANCE!H94+BALANCE!H130+BALANCE!H166</f>
        <v>0</v>
      </c>
      <c r="I30" s="67">
        <f>+BALANCE!I94+BALANCE!I130+BALANCE!I166</f>
        <v>1600.0984700000001</v>
      </c>
      <c r="J30" s="67">
        <f>+BALANCE!J94+BALANCE!J130+BALANCE!J166</f>
        <v>1600.0984700000001</v>
      </c>
      <c r="K30" s="67">
        <f>+BALANCE!K94+BALANCE!K130+BALANCE!K166</f>
        <v>0</v>
      </c>
    </row>
    <row r="31" spans="2:11" x14ac:dyDescent="0.2">
      <c r="B31" s="161" t="s">
        <v>873</v>
      </c>
      <c r="C31" s="3" t="s">
        <v>852</v>
      </c>
      <c r="D31" s="67">
        <f>+BALANCE!D95+BALANCE!D131+BALANCE!D167</f>
        <v>0</v>
      </c>
      <c r="E31" s="67">
        <f>+BALANCE!E95+BALANCE!E131+BALANCE!E167</f>
        <v>0</v>
      </c>
      <c r="F31" s="67">
        <f>+BALANCE!F95+BALANCE!F131+BALANCE!F167</f>
        <v>0</v>
      </c>
      <c r="G31" s="67">
        <f>+BALANCE!G95+BALANCE!G131+BALANCE!G167</f>
        <v>2865.4243899999997</v>
      </c>
      <c r="H31" s="67">
        <f>+BALANCE!H95+BALANCE!H131+BALANCE!H167</f>
        <v>0</v>
      </c>
      <c r="I31" s="67">
        <f>+BALANCE!I95+BALANCE!I131+BALANCE!I167</f>
        <v>2865.4243899999997</v>
      </c>
      <c r="J31" s="67">
        <f>+BALANCE!J95+BALANCE!J131+BALANCE!J167</f>
        <v>2865.4243899999997</v>
      </c>
      <c r="K31" s="67">
        <f>+BALANCE!K95+BALANCE!K131+BALANCE!K167</f>
        <v>0</v>
      </c>
    </row>
    <row r="32" spans="2:11" x14ac:dyDescent="0.2">
      <c r="B32" s="161" t="s">
        <v>874</v>
      </c>
      <c r="C32" s="3" t="s">
        <v>854</v>
      </c>
      <c r="D32" s="67">
        <f>+BALANCE!D96+BALANCE!D132+BALANCE!D168</f>
        <v>0</v>
      </c>
      <c r="E32" s="67">
        <f>+BALANCE!E96+BALANCE!E132+BALANCE!E168</f>
        <v>0</v>
      </c>
      <c r="F32" s="67">
        <f>+BALANCE!F96+BALANCE!F132+BALANCE!F168</f>
        <v>0</v>
      </c>
      <c r="G32" s="67">
        <f>+BALANCE!G96+BALANCE!G132+BALANCE!G168</f>
        <v>4313.6227199999994</v>
      </c>
      <c r="H32" s="67">
        <f>+BALANCE!H96+BALANCE!H132+BALANCE!H168</f>
        <v>0</v>
      </c>
      <c r="I32" s="67">
        <f>+BALANCE!I96+BALANCE!I132+BALANCE!I168</f>
        <v>4313.6227199999994</v>
      </c>
      <c r="J32" s="67">
        <f>+BALANCE!J96+BALANCE!J132+BALANCE!J168</f>
        <v>4313.6227199999994</v>
      </c>
      <c r="K32" s="67">
        <f>+BALANCE!K96+BALANCE!K132+BALANCE!K168</f>
        <v>0</v>
      </c>
    </row>
    <row r="33" spans="2:11" x14ac:dyDescent="0.2">
      <c r="B33" s="161" t="s">
        <v>875</v>
      </c>
      <c r="C33" s="3" t="s">
        <v>856</v>
      </c>
      <c r="D33" s="67">
        <f>+BALANCE!D97+BALANCE!D133+BALANCE!D169</f>
        <v>0</v>
      </c>
      <c r="E33" s="67">
        <f>+BALANCE!E97+BALANCE!E133+BALANCE!E169</f>
        <v>0</v>
      </c>
      <c r="F33" s="67">
        <f>+BALANCE!F97+BALANCE!F133+BALANCE!F169</f>
        <v>0</v>
      </c>
      <c r="G33" s="67">
        <f>+BALANCE!G97+BALANCE!G133+BALANCE!G169</f>
        <v>7554.3708099999994</v>
      </c>
      <c r="H33" s="67">
        <f>+BALANCE!H97+BALANCE!H133+BALANCE!H169</f>
        <v>0</v>
      </c>
      <c r="I33" s="67">
        <f>+BALANCE!I97+BALANCE!I133+BALANCE!I169</f>
        <v>7554.3708099999994</v>
      </c>
      <c r="J33" s="67">
        <f>+BALANCE!J97+BALANCE!J133+BALANCE!J169</f>
        <v>7554.3708099999994</v>
      </c>
      <c r="K33" s="67">
        <f>+BALANCE!K97+BALANCE!K133+BALANCE!K169</f>
        <v>0</v>
      </c>
    </row>
    <row r="34" spans="2:11" x14ac:dyDescent="0.2">
      <c r="B34" s="161" t="s">
        <v>876</v>
      </c>
      <c r="C34" s="3" t="s">
        <v>858</v>
      </c>
      <c r="D34" s="67">
        <f>+BALANCE!D98+BALANCE!D134+BALANCE!D170</f>
        <v>0</v>
      </c>
      <c r="E34" s="67">
        <f>+BALANCE!E98+BALANCE!E134+BALANCE!E170</f>
        <v>0</v>
      </c>
      <c r="F34" s="67">
        <f>+BALANCE!F98+BALANCE!F134+BALANCE!F170</f>
        <v>0</v>
      </c>
      <c r="G34" s="67">
        <f>+BALANCE!G98+BALANCE!G134+BALANCE!G170</f>
        <v>10585.831110000001</v>
      </c>
      <c r="H34" s="67">
        <f>+BALANCE!H98+BALANCE!H134+BALANCE!H170</f>
        <v>0</v>
      </c>
      <c r="I34" s="67">
        <f>+BALANCE!I98+BALANCE!I134+BALANCE!I170</f>
        <v>10585.831110000001</v>
      </c>
      <c r="J34" s="67">
        <f>+BALANCE!J98+BALANCE!J134+BALANCE!J170</f>
        <v>10585.831110000001</v>
      </c>
      <c r="K34" s="67">
        <f>+BALANCE!K98+BALANCE!K134+BALANCE!K170</f>
        <v>0</v>
      </c>
    </row>
    <row r="35" spans="2:11" x14ac:dyDescent="0.2">
      <c r="B35" s="20"/>
      <c r="C35" s="21"/>
      <c r="D35" s="67"/>
      <c r="E35" s="67"/>
      <c r="F35" s="67"/>
      <c r="G35" s="67"/>
      <c r="H35" s="67"/>
      <c r="I35" s="67"/>
      <c r="J35" s="67"/>
      <c r="K35" s="67"/>
    </row>
    <row r="36" spans="2:11" ht="15" x14ac:dyDescent="0.25">
      <c r="B36" s="153"/>
      <c r="C36" s="14" t="s">
        <v>877</v>
      </c>
      <c r="D36" s="65">
        <f>SUM(D37:D41)</f>
        <v>0</v>
      </c>
      <c r="E36" s="65">
        <f t="shared" ref="E36:K36" si="4">SUM(E37:E41)</f>
        <v>0</v>
      </c>
      <c r="F36" s="65">
        <f t="shared" si="4"/>
        <v>0</v>
      </c>
      <c r="G36" s="65">
        <f t="shared" si="4"/>
        <v>4192.5714399999997</v>
      </c>
      <c r="H36" s="65">
        <f t="shared" si="4"/>
        <v>0</v>
      </c>
      <c r="I36" s="65">
        <f t="shared" si="4"/>
        <v>4192.5714399999997</v>
      </c>
      <c r="J36" s="65">
        <f t="shared" si="4"/>
        <v>4192.5714399999997</v>
      </c>
      <c r="K36" s="65">
        <f t="shared" si="4"/>
        <v>0</v>
      </c>
    </row>
    <row r="37" spans="2:11" x14ac:dyDescent="0.2">
      <c r="B37" s="161" t="s">
        <v>878</v>
      </c>
      <c r="C37" s="3" t="s">
        <v>850</v>
      </c>
      <c r="D37" s="67">
        <f>+BALANCE!D202+BALANCE!D238+BALANCE!D274</f>
        <v>0</v>
      </c>
      <c r="E37" s="67">
        <f>+BALANCE!E202+BALANCE!E238+BALANCE!E274</f>
        <v>0</v>
      </c>
      <c r="F37" s="67">
        <f>+BALANCE!F202+BALANCE!F238+BALANCE!F274</f>
        <v>0</v>
      </c>
      <c r="G37" s="67">
        <f>+BALANCE!G202+BALANCE!G238+BALANCE!G274</f>
        <v>364.12147999999996</v>
      </c>
      <c r="H37" s="67">
        <f>+BALANCE!H202+BALANCE!H238+BALANCE!H274</f>
        <v>0</v>
      </c>
      <c r="I37" s="67">
        <f>+BALANCE!I202+BALANCE!I238+BALANCE!I274</f>
        <v>364.12147999999996</v>
      </c>
      <c r="J37" s="67">
        <f>+BALANCE!J202+BALANCE!J238+BALANCE!J274</f>
        <v>364.12147999999996</v>
      </c>
      <c r="K37" s="67">
        <f>+BALANCE!K202+BALANCE!K238+BALANCE!K274</f>
        <v>0</v>
      </c>
    </row>
    <row r="38" spans="2:11" x14ac:dyDescent="0.2">
      <c r="B38" s="161" t="s">
        <v>879</v>
      </c>
      <c r="C38" s="3" t="s">
        <v>852</v>
      </c>
      <c r="D38" s="67">
        <f>+BALANCE!D203+BALANCE!D239+BALANCE!D275</f>
        <v>0</v>
      </c>
      <c r="E38" s="67">
        <f>+BALANCE!E203+BALANCE!E239+BALANCE!E275</f>
        <v>0</v>
      </c>
      <c r="F38" s="67">
        <f>+BALANCE!F203+BALANCE!F239+BALANCE!F275</f>
        <v>0</v>
      </c>
      <c r="G38" s="67">
        <f>+BALANCE!G203+BALANCE!G239+BALANCE!G275</f>
        <v>547.54345999999998</v>
      </c>
      <c r="H38" s="67">
        <f>+BALANCE!H203+BALANCE!H239+BALANCE!H275</f>
        <v>0</v>
      </c>
      <c r="I38" s="67">
        <f>+BALANCE!I203+BALANCE!I239+BALANCE!I275</f>
        <v>547.54345999999998</v>
      </c>
      <c r="J38" s="67">
        <f>+BALANCE!J203+BALANCE!J239+BALANCE!J275</f>
        <v>547.54345999999998</v>
      </c>
      <c r="K38" s="67">
        <f>+BALANCE!K203+BALANCE!K239+BALANCE!K275</f>
        <v>0</v>
      </c>
    </row>
    <row r="39" spans="2:11" x14ac:dyDescent="0.2">
      <c r="B39" s="161" t="s">
        <v>880</v>
      </c>
      <c r="C39" s="3" t="s">
        <v>854</v>
      </c>
      <c r="D39" s="67">
        <f>+BALANCE!D204+BALANCE!D240+BALANCE!D276</f>
        <v>0</v>
      </c>
      <c r="E39" s="67">
        <f>+BALANCE!E204+BALANCE!E240+BALANCE!E276</f>
        <v>0</v>
      </c>
      <c r="F39" s="67">
        <f>+BALANCE!F204+BALANCE!F240+BALANCE!F276</f>
        <v>0</v>
      </c>
      <c r="G39" s="67">
        <f>+BALANCE!G204+BALANCE!G240+BALANCE!G276</f>
        <v>733.32786999999996</v>
      </c>
      <c r="H39" s="67">
        <f>+BALANCE!H204+BALANCE!H240+BALANCE!H276</f>
        <v>0</v>
      </c>
      <c r="I39" s="67">
        <f>+BALANCE!I204+BALANCE!I240+BALANCE!I276</f>
        <v>733.32786999999996</v>
      </c>
      <c r="J39" s="67">
        <f>+BALANCE!J204+BALANCE!J240+BALANCE!J276</f>
        <v>733.32786999999996</v>
      </c>
      <c r="K39" s="67">
        <f>+BALANCE!K204+BALANCE!K240+BALANCE!K276</f>
        <v>0</v>
      </c>
    </row>
    <row r="40" spans="2:11" x14ac:dyDescent="0.2">
      <c r="B40" s="161" t="s">
        <v>881</v>
      </c>
      <c r="C40" s="3" t="s">
        <v>856</v>
      </c>
      <c r="D40" s="67">
        <f>+BALANCE!D205+BALANCE!D241+BALANCE!D277</f>
        <v>0</v>
      </c>
      <c r="E40" s="67">
        <f>+BALANCE!E205+BALANCE!E241+BALANCE!E277</f>
        <v>0</v>
      </c>
      <c r="F40" s="67">
        <f>+BALANCE!F205+BALANCE!F241+BALANCE!F277</f>
        <v>0</v>
      </c>
      <c r="G40" s="67">
        <f>+BALANCE!G205+BALANCE!G241+BALANCE!G277</f>
        <v>1195.0055</v>
      </c>
      <c r="H40" s="67">
        <f>+BALANCE!H205+BALANCE!H241+BALANCE!H277</f>
        <v>0</v>
      </c>
      <c r="I40" s="67">
        <f>+BALANCE!I205+BALANCE!I241+BALANCE!I277</f>
        <v>1195.0055</v>
      </c>
      <c r="J40" s="67">
        <f>+BALANCE!J205+BALANCE!J241+BALANCE!J277</f>
        <v>1195.0055</v>
      </c>
      <c r="K40" s="67">
        <f>+BALANCE!K205+BALANCE!K241+BALANCE!K277</f>
        <v>0</v>
      </c>
    </row>
    <row r="41" spans="2:11" x14ac:dyDescent="0.2">
      <c r="B41" s="161" t="s">
        <v>882</v>
      </c>
      <c r="C41" s="3" t="s">
        <v>858</v>
      </c>
      <c r="D41" s="67">
        <f>+BALANCE!D206+BALANCE!D242+BALANCE!D278</f>
        <v>0</v>
      </c>
      <c r="E41" s="67">
        <f>+BALANCE!E206+BALANCE!E242+BALANCE!E278</f>
        <v>0</v>
      </c>
      <c r="F41" s="67">
        <f>+BALANCE!F206+BALANCE!F242+BALANCE!F278</f>
        <v>0</v>
      </c>
      <c r="G41" s="67">
        <f>+BALANCE!G206+BALANCE!G242+BALANCE!G278</f>
        <v>1352.5731300000002</v>
      </c>
      <c r="H41" s="67">
        <f>+BALANCE!H206+BALANCE!H242+BALANCE!H278</f>
        <v>0</v>
      </c>
      <c r="I41" s="67">
        <f>+BALANCE!I206+BALANCE!I242+BALANCE!I278</f>
        <v>1352.5731300000002</v>
      </c>
      <c r="J41" s="67">
        <f>+BALANCE!J206+BALANCE!J242+BALANCE!J278</f>
        <v>1352.5731300000002</v>
      </c>
      <c r="K41" s="67">
        <f>+BALANCE!K206+BALANCE!K242+BALANCE!K278</f>
        <v>0</v>
      </c>
    </row>
    <row r="42" spans="2:11" x14ac:dyDescent="0.2">
      <c r="B42" s="20"/>
      <c r="C42" s="21"/>
      <c r="D42" s="67"/>
      <c r="E42" s="67"/>
      <c r="F42" s="67"/>
      <c r="G42" s="67"/>
      <c r="H42" s="67"/>
      <c r="I42" s="67"/>
      <c r="J42" s="67"/>
      <c r="K42" s="67"/>
    </row>
    <row r="43" spans="2:11" ht="15" x14ac:dyDescent="0.25">
      <c r="B43" s="153"/>
      <c r="C43" s="14" t="s">
        <v>883</v>
      </c>
      <c r="D43" s="65">
        <f>SUM(D44:D48)</f>
        <v>0</v>
      </c>
      <c r="E43" s="65">
        <f t="shared" ref="E43:K43" si="5">SUM(E44:E48)</f>
        <v>0</v>
      </c>
      <c r="F43" s="65">
        <f t="shared" si="5"/>
        <v>0</v>
      </c>
      <c r="G43" s="65">
        <f t="shared" si="5"/>
        <v>1505.3798199999999</v>
      </c>
      <c r="H43" s="65">
        <f t="shared" si="5"/>
        <v>0</v>
      </c>
      <c r="I43" s="65">
        <f t="shared" si="5"/>
        <v>1505.3798199999999</v>
      </c>
      <c r="J43" s="65">
        <f t="shared" si="5"/>
        <v>1505.3798199999999</v>
      </c>
      <c r="K43" s="65">
        <f t="shared" si="5"/>
        <v>0</v>
      </c>
    </row>
    <row r="44" spans="2:11" x14ac:dyDescent="0.2">
      <c r="B44" s="161" t="s">
        <v>884</v>
      </c>
      <c r="C44" s="3" t="s">
        <v>850</v>
      </c>
      <c r="D44" s="67">
        <f>+BALANCE!D310+BALANCE!D347+BALANCE!D384</f>
        <v>0</v>
      </c>
      <c r="E44" s="67">
        <f>+BALANCE!E310+BALANCE!E347+BALANCE!E384</f>
        <v>0</v>
      </c>
      <c r="F44" s="67">
        <f>+BALANCE!F310+BALANCE!F347+BALANCE!F384</f>
        <v>0</v>
      </c>
      <c r="G44" s="67">
        <f>+BALANCE!G310+BALANCE!G347+BALANCE!G384</f>
        <v>200.33888000000002</v>
      </c>
      <c r="H44" s="67">
        <f>+BALANCE!H310+BALANCE!H347+BALANCE!H384</f>
        <v>0</v>
      </c>
      <c r="I44" s="67">
        <f>+BALANCE!I310+BALANCE!I347+BALANCE!I384</f>
        <v>200.33888000000002</v>
      </c>
      <c r="J44" s="67">
        <f>+BALANCE!J310+BALANCE!J347+BALANCE!J384</f>
        <v>200.33888000000002</v>
      </c>
      <c r="K44" s="67">
        <f>+BALANCE!K310+BALANCE!K347+BALANCE!K384</f>
        <v>0</v>
      </c>
    </row>
    <row r="45" spans="2:11" x14ac:dyDescent="0.2">
      <c r="B45" s="161" t="s">
        <v>885</v>
      </c>
      <c r="C45" s="3" t="s">
        <v>852</v>
      </c>
      <c r="D45" s="67">
        <f>+BALANCE!D311+BALANCE!D348+BALANCE!D385</f>
        <v>0</v>
      </c>
      <c r="E45" s="67">
        <f>+BALANCE!E311+BALANCE!E348+BALANCE!E385</f>
        <v>0</v>
      </c>
      <c r="F45" s="67">
        <f>+BALANCE!F311+BALANCE!F348+BALANCE!F385</f>
        <v>0</v>
      </c>
      <c r="G45" s="67">
        <f>+BALANCE!G311+BALANCE!G348+BALANCE!G385</f>
        <v>364.38601</v>
      </c>
      <c r="H45" s="67">
        <f>+BALANCE!H311+BALANCE!H348+BALANCE!H385</f>
        <v>0</v>
      </c>
      <c r="I45" s="67">
        <f>+BALANCE!I311+BALANCE!I348+BALANCE!I385</f>
        <v>364.38601</v>
      </c>
      <c r="J45" s="67">
        <f>+BALANCE!J311+BALANCE!J348+BALANCE!J385</f>
        <v>364.38601</v>
      </c>
      <c r="K45" s="67">
        <f>+BALANCE!K311+BALANCE!K348+BALANCE!K385</f>
        <v>0</v>
      </c>
    </row>
    <row r="46" spans="2:11" x14ac:dyDescent="0.2">
      <c r="B46" s="161" t="s">
        <v>886</v>
      </c>
      <c r="C46" s="3" t="s">
        <v>854</v>
      </c>
      <c r="D46" s="67">
        <f>+BALANCE!D312+BALANCE!D349+BALANCE!D386</f>
        <v>0</v>
      </c>
      <c r="E46" s="67">
        <f>+BALANCE!E312+BALANCE!E349+BALANCE!E386</f>
        <v>0</v>
      </c>
      <c r="F46" s="67">
        <f>+BALANCE!F312+BALANCE!F349+BALANCE!F386</f>
        <v>0</v>
      </c>
      <c r="G46" s="67">
        <f>+BALANCE!G312+BALANCE!G349+BALANCE!G386</f>
        <v>321.16673000000003</v>
      </c>
      <c r="H46" s="67">
        <f>+BALANCE!H312+BALANCE!H349+BALANCE!H386</f>
        <v>0</v>
      </c>
      <c r="I46" s="67">
        <f>+BALANCE!I312+BALANCE!I349+BALANCE!I386</f>
        <v>321.16673000000003</v>
      </c>
      <c r="J46" s="67">
        <f>+BALANCE!J312+BALANCE!J349+BALANCE!J386</f>
        <v>321.16673000000003</v>
      </c>
      <c r="K46" s="67">
        <f>+BALANCE!K312+BALANCE!K349+BALANCE!K386</f>
        <v>0</v>
      </c>
    </row>
    <row r="47" spans="2:11" x14ac:dyDescent="0.2">
      <c r="B47" s="161" t="s">
        <v>887</v>
      </c>
      <c r="C47" s="3" t="s">
        <v>856</v>
      </c>
      <c r="D47" s="67">
        <f>+BALANCE!D313+BALANCE!D350+BALANCE!D387</f>
        <v>0</v>
      </c>
      <c r="E47" s="67">
        <f>+BALANCE!E313+BALANCE!E350+BALANCE!E387</f>
        <v>0</v>
      </c>
      <c r="F47" s="67">
        <f>+BALANCE!F313+BALANCE!F350+BALANCE!F387</f>
        <v>0</v>
      </c>
      <c r="G47" s="67">
        <f>+BALANCE!G313+BALANCE!G350+BALANCE!G387</f>
        <v>181.54411000000002</v>
      </c>
      <c r="H47" s="67">
        <f>+BALANCE!H313+BALANCE!H350+BALANCE!H387</f>
        <v>0</v>
      </c>
      <c r="I47" s="67">
        <f>+BALANCE!I313+BALANCE!I350+BALANCE!I387</f>
        <v>181.54411000000002</v>
      </c>
      <c r="J47" s="67">
        <f>+BALANCE!J313+BALANCE!J350+BALANCE!J387</f>
        <v>181.54411000000002</v>
      </c>
      <c r="K47" s="67">
        <f>+BALANCE!K313+BALANCE!K350+BALANCE!K387</f>
        <v>0</v>
      </c>
    </row>
    <row r="48" spans="2:11" x14ac:dyDescent="0.2">
      <c r="B48" s="161" t="s">
        <v>888</v>
      </c>
      <c r="C48" s="3" t="s">
        <v>858</v>
      </c>
      <c r="D48" s="67">
        <f>+BALANCE!D314+BALANCE!D351+BALANCE!D388</f>
        <v>0</v>
      </c>
      <c r="E48" s="67">
        <f>+BALANCE!E314+BALANCE!E351+BALANCE!E388</f>
        <v>0</v>
      </c>
      <c r="F48" s="67">
        <f>+BALANCE!F314+BALANCE!F351+BALANCE!F388</f>
        <v>0</v>
      </c>
      <c r="G48" s="67">
        <f>+BALANCE!G314+BALANCE!G351+BALANCE!G388</f>
        <v>437.94409000000002</v>
      </c>
      <c r="H48" s="67">
        <f>+BALANCE!H314+BALANCE!H351+BALANCE!H388</f>
        <v>0</v>
      </c>
      <c r="I48" s="67">
        <f>+BALANCE!I314+BALANCE!I351+BALANCE!I388</f>
        <v>437.94409000000002</v>
      </c>
      <c r="J48" s="67">
        <f>+BALANCE!J314+BALANCE!J351+BALANCE!J388</f>
        <v>437.94409000000002</v>
      </c>
      <c r="K48" s="67">
        <f>+BALANCE!K314+BALANCE!K351+BALANCE!K388</f>
        <v>0</v>
      </c>
    </row>
    <row r="49" spans="2:11" x14ac:dyDescent="0.2">
      <c r="B49" s="20"/>
      <c r="C49" s="21"/>
      <c r="D49" s="67"/>
      <c r="E49" s="67"/>
      <c r="F49" s="67"/>
      <c r="G49" s="67"/>
      <c r="H49" s="67"/>
      <c r="I49" s="67"/>
      <c r="J49" s="67"/>
      <c r="K49" s="67"/>
    </row>
    <row r="50" spans="2:11" ht="15" x14ac:dyDescent="0.25">
      <c r="B50" s="153"/>
      <c r="C50" s="14" t="s">
        <v>889</v>
      </c>
      <c r="D50" s="65">
        <f>SUM(D51:D55)</f>
        <v>15773.618460000002</v>
      </c>
      <c r="E50" s="65">
        <f t="shared" ref="E50:K50" si="6">SUM(E51:E55)</f>
        <v>15773.618460000002</v>
      </c>
      <c r="F50" s="65">
        <f t="shared" si="6"/>
        <v>0</v>
      </c>
      <c r="G50" s="65">
        <f t="shared" si="6"/>
        <v>0</v>
      </c>
      <c r="H50" s="65">
        <f t="shared" si="6"/>
        <v>0</v>
      </c>
      <c r="I50" s="65">
        <f t="shared" si="6"/>
        <v>0</v>
      </c>
      <c r="J50" s="65">
        <f t="shared" si="6"/>
        <v>15773.618460000002</v>
      </c>
      <c r="K50" s="65">
        <f t="shared" si="6"/>
        <v>0</v>
      </c>
    </row>
    <row r="51" spans="2:11" x14ac:dyDescent="0.2">
      <c r="B51" s="161" t="s">
        <v>890</v>
      </c>
      <c r="C51" s="3" t="s">
        <v>850</v>
      </c>
      <c r="D51" s="67">
        <f>+BALANCE!D100+BALANCE!D136+BALANCE!D172</f>
        <v>347.16899999999998</v>
      </c>
      <c r="E51" s="67">
        <f>+BALANCE!E100+BALANCE!E136+BALANCE!E172</f>
        <v>347.16899999999998</v>
      </c>
      <c r="F51" s="67">
        <f>+BALANCE!F100+BALANCE!F136+BALANCE!F172</f>
        <v>0</v>
      </c>
      <c r="G51" s="67">
        <f>+BALANCE!G100+BALANCE!G136+BALANCE!G172</f>
        <v>0</v>
      </c>
      <c r="H51" s="67">
        <f>+BALANCE!H100+BALANCE!H136+BALANCE!H172</f>
        <v>0</v>
      </c>
      <c r="I51" s="67">
        <f>+BALANCE!I100+BALANCE!I136+BALANCE!I172</f>
        <v>0</v>
      </c>
      <c r="J51" s="67">
        <f>+BALANCE!J100+BALANCE!J136+BALANCE!J172</f>
        <v>347.16899999999998</v>
      </c>
      <c r="K51" s="67">
        <f>+BALANCE!K100+BALANCE!K136+BALANCE!K172</f>
        <v>0</v>
      </c>
    </row>
    <row r="52" spans="2:11" x14ac:dyDescent="0.2">
      <c r="B52" s="161" t="s">
        <v>891</v>
      </c>
      <c r="C52" s="3" t="s">
        <v>852</v>
      </c>
      <c r="D52" s="67">
        <f>+BALANCE!D101+BALANCE!D137+BALANCE!D173</f>
        <v>463.45049000000006</v>
      </c>
      <c r="E52" s="67">
        <f>+BALANCE!E101+BALANCE!E137+BALANCE!E173</f>
        <v>463.45049000000006</v>
      </c>
      <c r="F52" s="67">
        <f>+BALANCE!F101+BALANCE!F137+BALANCE!F173</f>
        <v>0</v>
      </c>
      <c r="G52" s="67">
        <f>+BALANCE!G101+BALANCE!G137+BALANCE!G173</f>
        <v>0</v>
      </c>
      <c r="H52" s="67">
        <f>+BALANCE!H101+BALANCE!H137+BALANCE!H173</f>
        <v>0</v>
      </c>
      <c r="I52" s="67">
        <f>+BALANCE!I101+BALANCE!I137+BALANCE!I173</f>
        <v>0</v>
      </c>
      <c r="J52" s="67">
        <f>+BALANCE!J101+BALANCE!J137+BALANCE!J173</f>
        <v>463.45049000000006</v>
      </c>
      <c r="K52" s="67">
        <f>+BALANCE!K101+BALANCE!K137+BALANCE!K173</f>
        <v>0</v>
      </c>
    </row>
    <row r="53" spans="2:11" x14ac:dyDescent="0.2">
      <c r="B53" s="161" t="s">
        <v>892</v>
      </c>
      <c r="C53" s="3" t="s">
        <v>854</v>
      </c>
      <c r="D53" s="67">
        <f>+BALANCE!D102+BALANCE!D138+BALANCE!D174</f>
        <v>697.88217000000009</v>
      </c>
      <c r="E53" s="67">
        <f>+BALANCE!E102+BALANCE!E138+BALANCE!E174</f>
        <v>697.88217000000009</v>
      </c>
      <c r="F53" s="67">
        <f>+BALANCE!F102+BALANCE!F138+BALANCE!F174</f>
        <v>0</v>
      </c>
      <c r="G53" s="67">
        <f>+BALANCE!G102+BALANCE!G138+BALANCE!G174</f>
        <v>0</v>
      </c>
      <c r="H53" s="67">
        <f>+BALANCE!H102+BALANCE!H138+BALANCE!H174</f>
        <v>0</v>
      </c>
      <c r="I53" s="67">
        <f>+BALANCE!I102+BALANCE!I138+BALANCE!I174</f>
        <v>0</v>
      </c>
      <c r="J53" s="67">
        <f>+BALANCE!J102+BALANCE!J138+BALANCE!J174</f>
        <v>697.88217000000009</v>
      </c>
      <c r="K53" s="67">
        <f>+BALANCE!K102+BALANCE!K138+BALANCE!K174</f>
        <v>0</v>
      </c>
    </row>
    <row r="54" spans="2:11" x14ac:dyDescent="0.2">
      <c r="B54" s="161" t="s">
        <v>893</v>
      </c>
      <c r="C54" s="3" t="s">
        <v>856</v>
      </c>
      <c r="D54" s="67">
        <f>+BALANCE!D103+BALANCE!D139+BALANCE!D175</f>
        <v>1381.99794</v>
      </c>
      <c r="E54" s="67">
        <f>+BALANCE!E103+BALANCE!E139+BALANCE!E175</f>
        <v>1381.99794</v>
      </c>
      <c r="F54" s="67">
        <f>+BALANCE!F103+BALANCE!F139+BALANCE!F175</f>
        <v>0</v>
      </c>
      <c r="G54" s="67">
        <f>+BALANCE!G103+BALANCE!G139+BALANCE!G175</f>
        <v>0</v>
      </c>
      <c r="H54" s="67">
        <f>+BALANCE!H103+BALANCE!H139+BALANCE!H175</f>
        <v>0</v>
      </c>
      <c r="I54" s="67">
        <f>+BALANCE!I103+BALANCE!I139+BALANCE!I175</f>
        <v>0</v>
      </c>
      <c r="J54" s="67">
        <f>+BALANCE!J103+BALANCE!J139+BALANCE!J175</f>
        <v>1381.99794</v>
      </c>
      <c r="K54" s="67">
        <f>+BALANCE!K103+BALANCE!K139+BALANCE!K175</f>
        <v>0</v>
      </c>
    </row>
    <row r="55" spans="2:11" x14ac:dyDescent="0.2">
      <c r="B55" s="161" t="s">
        <v>894</v>
      </c>
      <c r="C55" s="3" t="s">
        <v>858</v>
      </c>
      <c r="D55" s="67">
        <f>+BALANCE!D104+BALANCE!D140+BALANCE!D176</f>
        <v>12883.11886</v>
      </c>
      <c r="E55" s="67">
        <f>+BALANCE!E104+BALANCE!E140+BALANCE!E176</f>
        <v>12883.11886</v>
      </c>
      <c r="F55" s="67">
        <f>+BALANCE!F104+BALANCE!F140+BALANCE!F176</f>
        <v>0</v>
      </c>
      <c r="G55" s="67">
        <f>+BALANCE!G104+BALANCE!G140+BALANCE!G176</f>
        <v>0</v>
      </c>
      <c r="H55" s="67">
        <f>+BALANCE!H104+BALANCE!H140+BALANCE!H176</f>
        <v>0</v>
      </c>
      <c r="I55" s="67">
        <f>+BALANCE!I104+BALANCE!I140+BALANCE!I176</f>
        <v>0</v>
      </c>
      <c r="J55" s="67">
        <f>+BALANCE!J104+BALANCE!J140+BALANCE!J176</f>
        <v>12883.11886</v>
      </c>
      <c r="K55" s="67">
        <f>+BALANCE!K104+BALANCE!K140+BALANCE!K176</f>
        <v>0</v>
      </c>
    </row>
    <row r="56" spans="2:11" x14ac:dyDescent="0.2">
      <c r="B56" s="20"/>
      <c r="C56" s="21"/>
      <c r="D56" s="67"/>
      <c r="E56" s="67"/>
      <c r="F56" s="67"/>
      <c r="G56" s="67"/>
      <c r="H56" s="67"/>
      <c r="I56" s="67"/>
      <c r="J56" s="67"/>
      <c r="K56" s="67"/>
    </row>
    <row r="57" spans="2:11" ht="15" x14ac:dyDescent="0.25">
      <c r="B57" s="153"/>
      <c r="C57" s="14" t="s">
        <v>895</v>
      </c>
      <c r="D57" s="65">
        <f>SUM(D58:D62)</f>
        <v>863.0283300000001</v>
      </c>
      <c r="E57" s="65">
        <f t="shared" ref="E57:K57" si="7">SUM(E58:E62)</f>
        <v>863.0283300000001</v>
      </c>
      <c r="F57" s="65">
        <f t="shared" si="7"/>
        <v>0</v>
      </c>
      <c r="G57" s="65">
        <f t="shared" si="7"/>
        <v>0</v>
      </c>
      <c r="H57" s="65">
        <f t="shared" si="7"/>
        <v>0</v>
      </c>
      <c r="I57" s="65">
        <f t="shared" si="7"/>
        <v>0</v>
      </c>
      <c r="J57" s="65">
        <f t="shared" si="7"/>
        <v>863.0283300000001</v>
      </c>
      <c r="K57" s="65">
        <f t="shared" si="7"/>
        <v>0</v>
      </c>
    </row>
    <row r="58" spans="2:11" x14ac:dyDescent="0.2">
      <c r="B58" s="161" t="s">
        <v>896</v>
      </c>
      <c r="C58" s="3" t="s">
        <v>850</v>
      </c>
      <c r="D58" s="67">
        <f>+BALANCE!D208+BALANCE!D244+BALANCE!D280</f>
        <v>37.34572</v>
      </c>
      <c r="E58" s="67">
        <f>+BALANCE!E208+BALANCE!E244+BALANCE!E280</f>
        <v>37.34572</v>
      </c>
      <c r="F58" s="67">
        <f>+BALANCE!F208+BALANCE!F244+BALANCE!F280</f>
        <v>0</v>
      </c>
      <c r="G58" s="67">
        <f>+BALANCE!G208+BALANCE!G244+BALANCE!G280</f>
        <v>0</v>
      </c>
      <c r="H58" s="67">
        <f>+BALANCE!H208+BALANCE!H244+BALANCE!H280</f>
        <v>0</v>
      </c>
      <c r="I58" s="67">
        <f>+BALANCE!I208+BALANCE!I244+BALANCE!I280</f>
        <v>0</v>
      </c>
      <c r="J58" s="67">
        <f>+BALANCE!J208+BALANCE!J244+BALANCE!J280</f>
        <v>37.34572</v>
      </c>
      <c r="K58" s="67">
        <f>+BALANCE!K208+BALANCE!K244+BALANCE!K280</f>
        <v>0</v>
      </c>
    </row>
    <row r="59" spans="2:11" x14ac:dyDescent="0.2">
      <c r="B59" s="161" t="s">
        <v>897</v>
      </c>
      <c r="C59" s="3" t="s">
        <v>852</v>
      </c>
      <c r="D59" s="67">
        <f>+BALANCE!D209+BALANCE!D245+BALANCE!D281</f>
        <v>25.520679999999999</v>
      </c>
      <c r="E59" s="67">
        <f>+BALANCE!E209+BALANCE!E245+BALANCE!E281</f>
        <v>25.520679999999999</v>
      </c>
      <c r="F59" s="67">
        <f>+BALANCE!F209+BALANCE!F245+BALANCE!F281</f>
        <v>0</v>
      </c>
      <c r="G59" s="67">
        <f>+BALANCE!G209+BALANCE!G245+BALANCE!G281</f>
        <v>0</v>
      </c>
      <c r="H59" s="67">
        <f>+BALANCE!H209+BALANCE!H245+BALANCE!H281</f>
        <v>0</v>
      </c>
      <c r="I59" s="67">
        <f>+BALANCE!I209+BALANCE!I245+BALANCE!I281</f>
        <v>0</v>
      </c>
      <c r="J59" s="67">
        <f>+BALANCE!J209+BALANCE!J245+BALANCE!J281</f>
        <v>25.520679999999999</v>
      </c>
      <c r="K59" s="67">
        <f>+BALANCE!K209+BALANCE!K245+BALANCE!K281</f>
        <v>0</v>
      </c>
    </row>
    <row r="60" spans="2:11" x14ac:dyDescent="0.2">
      <c r="B60" s="162" t="s">
        <v>898</v>
      </c>
      <c r="C60" s="3" t="s">
        <v>854</v>
      </c>
      <c r="D60" s="67">
        <f>+BALANCE!D210+BALANCE!D246+BALANCE!D282</f>
        <v>38.393890000000006</v>
      </c>
      <c r="E60" s="67">
        <f>+BALANCE!E210+BALANCE!E246+BALANCE!E282</f>
        <v>38.393890000000006</v>
      </c>
      <c r="F60" s="67">
        <f>+BALANCE!F210+BALANCE!F246+BALANCE!F282</f>
        <v>0</v>
      </c>
      <c r="G60" s="67">
        <f>+BALANCE!G210+BALANCE!G246+BALANCE!G282</f>
        <v>0</v>
      </c>
      <c r="H60" s="67">
        <f>+BALANCE!H210+BALANCE!H246+BALANCE!H282</f>
        <v>0</v>
      </c>
      <c r="I60" s="67">
        <f>+BALANCE!I210+BALANCE!I246+BALANCE!I282</f>
        <v>0</v>
      </c>
      <c r="J60" s="67">
        <f>+BALANCE!J210+BALANCE!J246+BALANCE!J282</f>
        <v>38.393890000000006</v>
      </c>
      <c r="K60" s="67">
        <f>+BALANCE!K210+BALANCE!K246+BALANCE!K282</f>
        <v>0</v>
      </c>
    </row>
    <row r="61" spans="2:11" x14ac:dyDescent="0.2">
      <c r="B61" s="162" t="s">
        <v>899</v>
      </c>
      <c r="C61" s="3" t="s">
        <v>856</v>
      </c>
      <c r="D61" s="67">
        <f>+BALANCE!D211+BALANCE!D247+BALANCE!D283</f>
        <v>73.38176</v>
      </c>
      <c r="E61" s="67">
        <f>+BALANCE!E211+BALANCE!E247+BALANCE!E283</f>
        <v>73.38176</v>
      </c>
      <c r="F61" s="67">
        <f>+BALANCE!F211+BALANCE!F247+BALANCE!F283</f>
        <v>0</v>
      </c>
      <c r="G61" s="67">
        <f>+BALANCE!G211+BALANCE!G247+BALANCE!G283</f>
        <v>0</v>
      </c>
      <c r="H61" s="67">
        <f>+BALANCE!H211+BALANCE!H247+BALANCE!H283</f>
        <v>0</v>
      </c>
      <c r="I61" s="67">
        <f>+BALANCE!I211+BALANCE!I247+BALANCE!I283</f>
        <v>0</v>
      </c>
      <c r="J61" s="67">
        <f>+BALANCE!J211+BALANCE!J247+BALANCE!J283</f>
        <v>73.38176</v>
      </c>
      <c r="K61" s="67">
        <f>+BALANCE!K211+BALANCE!K247+BALANCE!K283</f>
        <v>0</v>
      </c>
    </row>
    <row r="62" spans="2:11" x14ac:dyDescent="0.2">
      <c r="B62" s="162" t="s">
        <v>900</v>
      </c>
      <c r="C62" s="3" t="s">
        <v>858</v>
      </c>
      <c r="D62" s="67">
        <f>+BALANCE!D212+BALANCE!D248+BALANCE!D284</f>
        <v>688.38628000000006</v>
      </c>
      <c r="E62" s="67">
        <f>+BALANCE!E212+BALANCE!E248+BALANCE!E284</f>
        <v>688.38628000000006</v>
      </c>
      <c r="F62" s="67">
        <f>+BALANCE!F212+BALANCE!F248+BALANCE!F284</f>
        <v>0</v>
      </c>
      <c r="G62" s="67">
        <f>+BALANCE!G212+BALANCE!G248+BALANCE!G284</f>
        <v>0</v>
      </c>
      <c r="H62" s="67">
        <f>+BALANCE!H212+BALANCE!H248+BALANCE!H284</f>
        <v>0</v>
      </c>
      <c r="I62" s="67">
        <f>+BALANCE!I212+BALANCE!I248+BALANCE!I284</f>
        <v>0</v>
      </c>
      <c r="J62" s="67">
        <f>+BALANCE!J212+BALANCE!J248+BALANCE!J284</f>
        <v>688.38628000000006</v>
      </c>
      <c r="K62" s="67">
        <f>+BALANCE!K212+BALANCE!K248+BALANCE!K284</f>
        <v>0</v>
      </c>
    </row>
    <row r="63" spans="2:11" x14ac:dyDescent="0.2">
      <c r="B63" s="20"/>
      <c r="C63" s="21"/>
      <c r="D63" s="67"/>
      <c r="E63" s="67"/>
      <c r="F63" s="67"/>
      <c r="G63" s="67"/>
      <c r="H63" s="67"/>
      <c r="I63" s="67"/>
      <c r="J63" s="67"/>
      <c r="K63" s="67"/>
    </row>
    <row r="64" spans="2:11" ht="15" x14ac:dyDescent="0.25">
      <c r="B64" s="153"/>
      <c r="C64" s="14" t="s">
        <v>901</v>
      </c>
      <c r="D64" s="65">
        <f>SUM(D65:D70)</f>
        <v>60.742969999999993</v>
      </c>
      <c r="E64" s="65">
        <f t="shared" ref="E64:K64" si="8">SUM(E65:E70)</f>
        <v>60.742969999999993</v>
      </c>
      <c r="F64" s="65">
        <f t="shared" si="8"/>
        <v>0</v>
      </c>
      <c r="G64" s="65">
        <f t="shared" si="8"/>
        <v>0</v>
      </c>
      <c r="H64" s="65">
        <f t="shared" si="8"/>
        <v>0</v>
      </c>
      <c r="I64" s="65">
        <f t="shared" si="8"/>
        <v>0</v>
      </c>
      <c r="J64" s="65">
        <f t="shared" si="8"/>
        <v>60.742969999999993</v>
      </c>
      <c r="K64" s="65">
        <f t="shared" si="8"/>
        <v>0</v>
      </c>
    </row>
    <row r="65" spans="2:11" x14ac:dyDescent="0.2">
      <c r="B65" s="162" t="s">
        <v>902</v>
      </c>
      <c r="C65" s="3" t="s">
        <v>850</v>
      </c>
      <c r="D65" s="67">
        <f>+BALANCE!D316+BALANCE!D353+BALANCE!D390</f>
        <v>0</v>
      </c>
      <c r="E65" s="67">
        <f>+BALANCE!E316+BALANCE!E353+BALANCE!E390</f>
        <v>0</v>
      </c>
      <c r="F65" s="67">
        <f>+BALANCE!F316+BALANCE!F353+BALANCE!F390</f>
        <v>0</v>
      </c>
      <c r="G65" s="67">
        <f>+BALANCE!G316+BALANCE!G353+BALANCE!G390</f>
        <v>0</v>
      </c>
      <c r="H65" s="67">
        <f>+BALANCE!H316+BALANCE!H353+BALANCE!H390</f>
        <v>0</v>
      </c>
      <c r="I65" s="67">
        <f>+BALANCE!I316+BALANCE!I353+BALANCE!I390</f>
        <v>0</v>
      </c>
      <c r="J65" s="67">
        <f>+BALANCE!J316+BALANCE!J353+BALANCE!J390</f>
        <v>0</v>
      </c>
      <c r="K65" s="67">
        <f>+BALANCE!K316+BALANCE!K353+BALANCE!K390</f>
        <v>0</v>
      </c>
    </row>
    <row r="66" spans="2:11" x14ac:dyDescent="0.2">
      <c r="B66" s="162" t="s">
        <v>903</v>
      </c>
      <c r="C66" s="3" t="s">
        <v>852</v>
      </c>
      <c r="D66" s="67">
        <f>+BALANCE!D317+BALANCE!D354+BALANCE!D391</f>
        <v>13.290559999999999</v>
      </c>
      <c r="E66" s="67">
        <f>+BALANCE!E317+BALANCE!E354+BALANCE!E391</f>
        <v>13.290559999999999</v>
      </c>
      <c r="F66" s="67">
        <f>+BALANCE!F317+BALANCE!F354+BALANCE!F391</f>
        <v>0</v>
      </c>
      <c r="G66" s="67">
        <f>+BALANCE!G317+BALANCE!G354+BALANCE!G391</f>
        <v>0</v>
      </c>
      <c r="H66" s="67">
        <f>+BALANCE!H317+BALANCE!H354+BALANCE!H391</f>
        <v>0</v>
      </c>
      <c r="I66" s="67">
        <f>+BALANCE!I317+BALANCE!I354+BALANCE!I391</f>
        <v>0</v>
      </c>
      <c r="J66" s="67">
        <f>+BALANCE!J317+BALANCE!J354+BALANCE!J391</f>
        <v>13.290559999999999</v>
      </c>
      <c r="K66" s="67">
        <f>+BALANCE!K317+BALANCE!K354+BALANCE!K391</f>
        <v>0</v>
      </c>
    </row>
    <row r="67" spans="2:11" x14ac:dyDescent="0.2">
      <c r="B67" s="162" t="s">
        <v>904</v>
      </c>
      <c r="C67" s="3" t="s">
        <v>854</v>
      </c>
      <c r="D67" s="67">
        <f>+BALANCE!D318+BALANCE!D355+BALANCE!D392</f>
        <v>20.66179</v>
      </c>
      <c r="E67" s="67">
        <f>+BALANCE!E318+BALANCE!E355+BALANCE!E392</f>
        <v>20.66179</v>
      </c>
      <c r="F67" s="67">
        <f>+BALANCE!F318+BALANCE!F355+BALANCE!F392</f>
        <v>0</v>
      </c>
      <c r="G67" s="67">
        <f>+BALANCE!G318+BALANCE!G355+BALANCE!G392</f>
        <v>0</v>
      </c>
      <c r="H67" s="67">
        <f>+BALANCE!H318+BALANCE!H355+BALANCE!H392</f>
        <v>0</v>
      </c>
      <c r="I67" s="67">
        <f>+BALANCE!I318+BALANCE!I355+BALANCE!I392</f>
        <v>0</v>
      </c>
      <c r="J67" s="67">
        <f>+BALANCE!J318+BALANCE!J355+BALANCE!J392</f>
        <v>20.66179</v>
      </c>
      <c r="K67" s="67">
        <f>+BALANCE!K318+BALANCE!K355+BALANCE!K392</f>
        <v>0</v>
      </c>
    </row>
    <row r="68" spans="2:11" x14ac:dyDescent="0.2">
      <c r="B68" s="162" t="s">
        <v>905</v>
      </c>
      <c r="C68" s="3" t="s">
        <v>856</v>
      </c>
      <c r="D68" s="67">
        <f>+BALANCE!D319+BALANCE!D356+BALANCE!D393</f>
        <v>6.6631499999999999</v>
      </c>
      <c r="E68" s="67">
        <f>+BALANCE!E319+BALANCE!E356+BALANCE!E393</f>
        <v>6.6631499999999999</v>
      </c>
      <c r="F68" s="67">
        <f>+BALANCE!F319+BALANCE!F356+BALANCE!F393</f>
        <v>0</v>
      </c>
      <c r="G68" s="67">
        <f>+BALANCE!G319+BALANCE!G356+BALANCE!G393</f>
        <v>0</v>
      </c>
      <c r="H68" s="67">
        <f>+BALANCE!H319+BALANCE!H356+BALANCE!H393</f>
        <v>0</v>
      </c>
      <c r="I68" s="67">
        <f>+BALANCE!I319+BALANCE!I356+BALANCE!I393</f>
        <v>0</v>
      </c>
      <c r="J68" s="67">
        <f>+BALANCE!J319+BALANCE!J356+BALANCE!J393</f>
        <v>6.6631499999999999</v>
      </c>
      <c r="K68" s="67">
        <f>+BALANCE!K319+BALANCE!K356+BALANCE!K393</f>
        <v>0</v>
      </c>
    </row>
    <row r="69" spans="2:11" x14ac:dyDescent="0.2">
      <c r="B69" s="162" t="s">
        <v>906</v>
      </c>
      <c r="C69" s="3" t="s">
        <v>907</v>
      </c>
      <c r="D69" s="67">
        <f>+BALANCE!D320+BALANCE!D357+BALANCE!D394</f>
        <v>13.298919999999999</v>
      </c>
      <c r="E69" s="67">
        <f>+BALANCE!E320+BALANCE!E357+BALANCE!E394</f>
        <v>13.298919999999999</v>
      </c>
      <c r="F69" s="67">
        <f>+BALANCE!F320+BALANCE!F357+BALANCE!F394</f>
        <v>0</v>
      </c>
      <c r="G69" s="67">
        <f>+BALANCE!G320+BALANCE!G357+BALANCE!G394</f>
        <v>0</v>
      </c>
      <c r="H69" s="67">
        <f>+BALANCE!H320+BALANCE!H357+BALANCE!H394</f>
        <v>0</v>
      </c>
      <c r="I69" s="67">
        <f>+BALANCE!I320+BALANCE!I357+BALANCE!I394</f>
        <v>0</v>
      </c>
      <c r="J69" s="67">
        <f>+BALANCE!J320+BALANCE!J357+BALANCE!J394</f>
        <v>13.298919999999999</v>
      </c>
      <c r="K69" s="67">
        <f>+BALANCE!K320+BALANCE!K357+BALANCE!K394</f>
        <v>0</v>
      </c>
    </row>
    <row r="70" spans="2:11" x14ac:dyDescent="0.2">
      <c r="B70" s="163" t="s">
        <v>908</v>
      </c>
      <c r="C70" s="21" t="s">
        <v>909</v>
      </c>
      <c r="D70" s="67">
        <f>+BALANCE!D321+BALANCE!D358+BALANCE!D395</f>
        <v>6.8285499999999999</v>
      </c>
      <c r="E70" s="67">
        <f>+BALANCE!E321+BALANCE!E358+BALANCE!E395</f>
        <v>6.8285499999999999</v>
      </c>
      <c r="F70" s="67">
        <f>+BALANCE!F321+BALANCE!F358+BALANCE!F395</f>
        <v>0</v>
      </c>
      <c r="G70" s="67">
        <f>+BALANCE!G321+BALANCE!G358+BALANCE!G395</f>
        <v>0</v>
      </c>
      <c r="H70" s="67">
        <f>+BALANCE!H321+BALANCE!H358+BALANCE!H395</f>
        <v>0</v>
      </c>
      <c r="I70" s="67">
        <f>+BALANCE!I321+BALANCE!I358+BALANCE!I395</f>
        <v>0</v>
      </c>
      <c r="J70" s="67">
        <f>+BALANCE!J321+BALANCE!J358+BALANCE!J395</f>
        <v>6.8285499999999999</v>
      </c>
      <c r="K70" s="67">
        <f>+BALANCE!K321+BALANCE!K358+BALANCE!K395</f>
        <v>0</v>
      </c>
    </row>
    <row r="71" spans="2:11" x14ac:dyDescent="0.2">
      <c r="B71" s="20"/>
      <c r="C71" s="21"/>
      <c r="D71" s="67"/>
      <c r="E71" s="67"/>
      <c r="F71" s="67"/>
      <c r="G71" s="67"/>
      <c r="H71" s="67"/>
      <c r="I71" s="67"/>
      <c r="J71" s="67"/>
      <c r="K71" s="67"/>
    </row>
    <row r="72" spans="2:11" ht="15" x14ac:dyDescent="0.25">
      <c r="B72" s="153"/>
      <c r="C72" s="14" t="s">
        <v>910</v>
      </c>
      <c r="D72" s="65">
        <f>SUM(D73:D77)</f>
        <v>0</v>
      </c>
      <c r="E72" s="65">
        <f t="shared" ref="E72:K72" si="9">SUM(E73:E77)</f>
        <v>0</v>
      </c>
      <c r="F72" s="65">
        <f t="shared" si="9"/>
        <v>0</v>
      </c>
      <c r="G72" s="65">
        <f t="shared" si="9"/>
        <v>250805.46072</v>
      </c>
      <c r="H72" s="65">
        <f t="shared" si="9"/>
        <v>26730.865440000001</v>
      </c>
      <c r="I72" s="65">
        <f t="shared" si="9"/>
        <v>277536.32616000006</v>
      </c>
      <c r="J72" s="65">
        <f t="shared" si="9"/>
        <v>277536.32616000006</v>
      </c>
      <c r="K72" s="65">
        <f t="shared" si="9"/>
        <v>0</v>
      </c>
    </row>
    <row r="73" spans="2:11" x14ac:dyDescent="0.2">
      <c r="B73" s="161" t="s">
        <v>911</v>
      </c>
      <c r="C73" s="3" t="s">
        <v>850</v>
      </c>
      <c r="D73" s="67">
        <f>+BALANCE!D106+BALANCE!D142+BALANCE!D178</f>
        <v>0</v>
      </c>
      <c r="E73" s="67">
        <f>+BALANCE!E106+BALANCE!E142+BALANCE!E178</f>
        <v>0</v>
      </c>
      <c r="F73" s="67">
        <f>+BALANCE!F106+BALANCE!F142+BALANCE!F178</f>
        <v>0</v>
      </c>
      <c r="G73" s="67">
        <f>+BALANCE!G106+BALANCE!G142+BALANCE!G178</f>
        <v>15381.675569999999</v>
      </c>
      <c r="H73" s="67">
        <f>+BALANCE!H106+BALANCE!H142+BALANCE!H178</f>
        <v>1322.6482699999999</v>
      </c>
      <c r="I73" s="67">
        <f>+BALANCE!I106+BALANCE!I142+BALANCE!I178</f>
        <v>16704.323840000001</v>
      </c>
      <c r="J73" s="67">
        <f>+BALANCE!J106+BALANCE!J142+BALANCE!J178</f>
        <v>16704.323840000001</v>
      </c>
      <c r="K73" s="67">
        <f>+BALANCE!K106+BALANCE!K142+BALANCE!K178</f>
        <v>0</v>
      </c>
    </row>
    <row r="74" spans="2:11" x14ac:dyDescent="0.2">
      <c r="B74" s="162" t="s">
        <v>912</v>
      </c>
      <c r="C74" s="3" t="s">
        <v>852</v>
      </c>
      <c r="D74" s="67">
        <f>+BALANCE!D107+BALANCE!D143+BALANCE!D179</f>
        <v>0</v>
      </c>
      <c r="E74" s="67">
        <f>+BALANCE!E107+BALANCE!E143+BALANCE!E179</f>
        <v>0</v>
      </c>
      <c r="F74" s="67">
        <f>+BALANCE!F107+BALANCE!F143+BALANCE!F179</f>
        <v>0</v>
      </c>
      <c r="G74" s="67">
        <f>+BALANCE!G107+BALANCE!G143+BALANCE!G179</f>
        <v>23642.259710000002</v>
      </c>
      <c r="H74" s="67">
        <f>+BALANCE!H107+BALANCE!H143+BALANCE!H179</f>
        <v>2011.1792800000001</v>
      </c>
      <c r="I74" s="67">
        <f>+BALANCE!I107+BALANCE!I143+BALANCE!I179</f>
        <v>25653.438990000002</v>
      </c>
      <c r="J74" s="67">
        <f>+BALANCE!J107+BALANCE!J143+BALANCE!J179</f>
        <v>25653.438990000002</v>
      </c>
      <c r="K74" s="67">
        <f>+BALANCE!K107+BALANCE!K143+BALANCE!K179</f>
        <v>0</v>
      </c>
    </row>
    <row r="75" spans="2:11" x14ac:dyDescent="0.2">
      <c r="B75" s="162" t="s">
        <v>913</v>
      </c>
      <c r="C75" s="3" t="s">
        <v>854</v>
      </c>
      <c r="D75" s="67">
        <f>+BALANCE!D108+BALANCE!D144+BALANCE!D180</f>
        <v>0</v>
      </c>
      <c r="E75" s="67">
        <f>+BALANCE!E108+BALANCE!E144+BALANCE!E180</f>
        <v>0</v>
      </c>
      <c r="F75" s="67">
        <f>+BALANCE!F108+BALANCE!F144+BALANCE!F180</f>
        <v>0</v>
      </c>
      <c r="G75" s="67">
        <f>+BALANCE!G108+BALANCE!G144+BALANCE!G180</f>
        <v>33616.455699999999</v>
      </c>
      <c r="H75" s="67">
        <f>+BALANCE!H108+BALANCE!H144+BALANCE!H180</f>
        <v>2890.0178700000001</v>
      </c>
      <c r="I75" s="67">
        <f>+BALANCE!I108+BALANCE!I144+BALANCE!I180</f>
        <v>36506.473570000002</v>
      </c>
      <c r="J75" s="67">
        <f>+BALANCE!J108+BALANCE!J144+BALANCE!J180</f>
        <v>36506.473570000002</v>
      </c>
      <c r="K75" s="67">
        <f>+BALANCE!K108+BALANCE!K144+BALANCE!K180</f>
        <v>0</v>
      </c>
    </row>
    <row r="76" spans="2:11" x14ac:dyDescent="0.2">
      <c r="B76" s="162" t="s">
        <v>914</v>
      </c>
      <c r="C76" s="3" t="s">
        <v>856</v>
      </c>
      <c r="D76" s="67">
        <f>+BALANCE!D109+BALANCE!D145+BALANCE!D181</f>
        <v>0</v>
      </c>
      <c r="E76" s="67">
        <f>+BALANCE!E109+BALANCE!E145+BALANCE!E181</f>
        <v>0</v>
      </c>
      <c r="F76" s="67">
        <f>+BALANCE!F109+BALANCE!F145+BALANCE!F181</f>
        <v>0</v>
      </c>
      <c r="G76" s="67">
        <f>+BALANCE!G109+BALANCE!G145+BALANCE!G181</f>
        <v>51902.254919999999</v>
      </c>
      <c r="H76" s="67">
        <f>+BALANCE!H109+BALANCE!H145+BALANCE!H181</f>
        <v>5248.5103799999997</v>
      </c>
      <c r="I76" s="67">
        <f>+BALANCE!I109+BALANCE!I145+BALANCE!I181</f>
        <v>57150.765299999999</v>
      </c>
      <c r="J76" s="67">
        <f>+BALANCE!J109+BALANCE!J145+BALANCE!J181</f>
        <v>57150.765299999999</v>
      </c>
      <c r="K76" s="67">
        <f>+BALANCE!K109+BALANCE!K145+BALANCE!K181</f>
        <v>0</v>
      </c>
    </row>
    <row r="77" spans="2:11" x14ac:dyDescent="0.2">
      <c r="B77" s="162" t="s">
        <v>915</v>
      </c>
      <c r="C77" s="3" t="s">
        <v>858</v>
      </c>
      <c r="D77" s="67">
        <f>+BALANCE!D110+BALANCE!D146+BALANCE!D182</f>
        <v>0</v>
      </c>
      <c r="E77" s="67">
        <f>+BALANCE!E110+BALANCE!E146+BALANCE!E182</f>
        <v>0</v>
      </c>
      <c r="F77" s="67">
        <f>+BALANCE!F110+BALANCE!F146+BALANCE!F182</f>
        <v>0</v>
      </c>
      <c r="G77" s="67">
        <f>+BALANCE!G110+BALANCE!G146+BALANCE!G182</f>
        <v>126262.81482</v>
      </c>
      <c r="H77" s="67">
        <f>+BALANCE!H110+BALANCE!H146+BALANCE!H182</f>
        <v>15258.50964</v>
      </c>
      <c r="I77" s="67">
        <f>+BALANCE!I110+BALANCE!I146+BALANCE!I182</f>
        <v>141521.32446</v>
      </c>
      <c r="J77" s="67">
        <f>+BALANCE!J110+BALANCE!J146+BALANCE!J182</f>
        <v>141521.32446</v>
      </c>
      <c r="K77" s="67">
        <f>+BALANCE!K110+BALANCE!K146+BALANCE!K182</f>
        <v>0</v>
      </c>
    </row>
    <row r="78" spans="2:11" x14ac:dyDescent="0.2">
      <c r="B78" s="20"/>
      <c r="C78" s="21"/>
      <c r="D78" s="67"/>
      <c r="E78" s="67"/>
      <c r="F78" s="67"/>
      <c r="G78" s="67"/>
      <c r="H78" s="67"/>
      <c r="I78" s="67"/>
      <c r="J78" s="67"/>
      <c r="K78" s="67"/>
    </row>
    <row r="79" spans="2:11" ht="15" x14ac:dyDescent="0.25">
      <c r="B79" s="153"/>
      <c r="C79" s="14" t="s">
        <v>916</v>
      </c>
      <c r="D79" s="65">
        <f>SUM(D80:D84)</f>
        <v>0</v>
      </c>
      <c r="E79" s="65">
        <f t="shared" ref="E79:K79" si="10">SUM(E80:E84)</f>
        <v>0</v>
      </c>
      <c r="F79" s="65">
        <f t="shared" si="10"/>
        <v>0</v>
      </c>
      <c r="G79" s="65">
        <f t="shared" si="10"/>
        <v>13088.36141</v>
      </c>
      <c r="H79" s="65">
        <f t="shared" si="10"/>
        <v>4028.91347</v>
      </c>
      <c r="I79" s="65">
        <f t="shared" si="10"/>
        <v>17117.274879999997</v>
      </c>
      <c r="J79" s="65">
        <f t="shared" si="10"/>
        <v>17117.274879999997</v>
      </c>
      <c r="K79" s="65">
        <f t="shared" si="10"/>
        <v>0</v>
      </c>
    </row>
    <row r="80" spans="2:11" x14ac:dyDescent="0.2">
      <c r="B80" s="162" t="s">
        <v>917</v>
      </c>
      <c r="C80" s="3" t="s">
        <v>850</v>
      </c>
      <c r="D80" s="67">
        <f>+BALANCE!D214+BALANCE!D250+BALANCE!D286</f>
        <v>0</v>
      </c>
      <c r="E80" s="67">
        <f>+BALANCE!E214+BALANCE!E250+BALANCE!E286</f>
        <v>0</v>
      </c>
      <c r="F80" s="67">
        <f>+BALANCE!F214+BALANCE!F250+BALANCE!F286</f>
        <v>0</v>
      </c>
      <c r="G80" s="67">
        <f>+BALANCE!G214+BALANCE!G250+BALANCE!G286</f>
        <v>543.68868999999995</v>
      </c>
      <c r="H80" s="67">
        <f>+BALANCE!H214+BALANCE!H250+BALANCE!H286</f>
        <v>361.57049000000001</v>
      </c>
      <c r="I80" s="67">
        <f>+BALANCE!I214+BALANCE!I250+BALANCE!I286</f>
        <v>905.25918000000001</v>
      </c>
      <c r="J80" s="67">
        <f>+BALANCE!J214+BALANCE!J250+BALANCE!J286</f>
        <v>905.25918000000001</v>
      </c>
      <c r="K80" s="67">
        <f>+BALANCE!K214+BALANCE!K250+BALANCE!K286</f>
        <v>0</v>
      </c>
    </row>
    <row r="81" spans="2:11" x14ac:dyDescent="0.2">
      <c r="B81" s="162" t="s">
        <v>918</v>
      </c>
      <c r="C81" s="3" t="s">
        <v>852</v>
      </c>
      <c r="D81" s="67">
        <f>+BALANCE!D215+BALANCE!D251+BALANCE!D287</f>
        <v>0</v>
      </c>
      <c r="E81" s="67">
        <f>+BALANCE!E215+BALANCE!E251+BALANCE!E287</f>
        <v>0</v>
      </c>
      <c r="F81" s="67">
        <f>+BALANCE!F215+BALANCE!F251+BALANCE!F287</f>
        <v>0</v>
      </c>
      <c r="G81" s="67">
        <f>+BALANCE!G215+BALANCE!G251+BALANCE!G287</f>
        <v>1086.0052999999998</v>
      </c>
      <c r="H81" s="67">
        <f>+BALANCE!H215+BALANCE!H251+BALANCE!H287</f>
        <v>326.11563999999998</v>
      </c>
      <c r="I81" s="67">
        <f>+BALANCE!I215+BALANCE!I251+BALANCE!I287</f>
        <v>1412.1209399999998</v>
      </c>
      <c r="J81" s="67">
        <f>+BALANCE!J215+BALANCE!J251+BALANCE!J287</f>
        <v>1412.1209399999998</v>
      </c>
      <c r="K81" s="67">
        <f>+BALANCE!K215+BALANCE!K251+BALANCE!K287</f>
        <v>0</v>
      </c>
    </row>
    <row r="82" spans="2:11" x14ac:dyDescent="0.2">
      <c r="B82" s="162" t="s">
        <v>919</v>
      </c>
      <c r="C82" s="3" t="s">
        <v>854</v>
      </c>
      <c r="D82" s="67">
        <f>+BALANCE!D216+BALANCE!D252+BALANCE!D288</f>
        <v>0</v>
      </c>
      <c r="E82" s="67">
        <f>+BALANCE!E216+BALANCE!E252+BALANCE!E288</f>
        <v>0</v>
      </c>
      <c r="F82" s="67">
        <f>+BALANCE!F216+BALANCE!F252+BALANCE!F288</f>
        <v>0</v>
      </c>
      <c r="G82" s="67">
        <f>+BALANCE!G216+BALANCE!G252+BALANCE!G288</f>
        <v>1642.6658100000002</v>
      </c>
      <c r="H82" s="67">
        <f>+BALANCE!H216+BALANCE!H252+BALANCE!H288</f>
        <v>476.24941000000001</v>
      </c>
      <c r="I82" s="67">
        <f>+BALANCE!I216+BALANCE!I252+BALANCE!I288</f>
        <v>2118.9152200000003</v>
      </c>
      <c r="J82" s="67">
        <f>+BALANCE!J216+BALANCE!J252+BALANCE!J288</f>
        <v>2118.9152200000003</v>
      </c>
      <c r="K82" s="67">
        <f>+BALANCE!K216+BALANCE!K252+BALANCE!K288</f>
        <v>0</v>
      </c>
    </row>
    <row r="83" spans="2:11" x14ac:dyDescent="0.2">
      <c r="B83" s="162" t="s">
        <v>920</v>
      </c>
      <c r="C83" s="3" t="s">
        <v>856</v>
      </c>
      <c r="D83" s="67">
        <f>+BALANCE!D217+BALANCE!D253+BALANCE!D289</f>
        <v>0</v>
      </c>
      <c r="E83" s="67">
        <f>+BALANCE!E217+BALANCE!E253+BALANCE!E289</f>
        <v>0</v>
      </c>
      <c r="F83" s="67">
        <f>+BALANCE!F217+BALANCE!F253+BALANCE!F289</f>
        <v>0</v>
      </c>
      <c r="G83" s="67">
        <f>+BALANCE!G217+BALANCE!G253+BALANCE!G289</f>
        <v>3389.0942799999998</v>
      </c>
      <c r="H83" s="67">
        <f>+BALANCE!H217+BALANCE!H253+BALANCE!H289</f>
        <v>850.11357999999996</v>
      </c>
      <c r="I83" s="67">
        <f>+BALANCE!I217+BALANCE!I253+BALANCE!I289</f>
        <v>4239.2078599999995</v>
      </c>
      <c r="J83" s="67">
        <f>+BALANCE!J217+BALANCE!J253+BALANCE!J289</f>
        <v>4239.2078599999995</v>
      </c>
      <c r="K83" s="67">
        <f>+BALANCE!K217+BALANCE!K253+BALANCE!K289</f>
        <v>0</v>
      </c>
    </row>
    <row r="84" spans="2:11" x14ac:dyDescent="0.2">
      <c r="B84" s="162" t="s">
        <v>921</v>
      </c>
      <c r="C84" s="3" t="s">
        <v>858</v>
      </c>
      <c r="D84" s="67">
        <f>+BALANCE!D218+BALANCE!D254+BALANCE!D290</f>
        <v>0</v>
      </c>
      <c r="E84" s="67">
        <f>+BALANCE!E218+BALANCE!E254+BALANCE!E290</f>
        <v>0</v>
      </c>
      <c r="F84" s="67">
        <f>+BALANCE!F218+BALANCE!F254+BALANCE!F290</f>
        <v>0</v>
      </c>
      <c r="G84" s="67">
        <f>+BALANCE!G218+BALANCE!G254+BALANCE!G290</f>
        <v>6426.90733</v>
      </c>
      <c r="H84" s="67">
        <f>+BALANCE!H218+BALANCE!H254+BALANCE!H290</f>
        <v>2014.8643500000001</v>
      </c>
      <c r="I84" s="67">
        <f>+BALANCE!I218+BALANCE!I254+BALANCE!I290</f>
        <v>8441.7716799999998</v>
      </c>
      <c r="J84" s="67">
        <f>+BALANCE!J218+BALANCE!J254+BALANCE!J290</f>
        <v>8441.7716799999998</v>
      </c>
      <c r="K84" s="67">
        <f>+BALANCE!K218+BALANCE!K254+BALANCE!K290</f>
        <v>0</v>
      </c>
    </row>
    <row r="85" spans="2:11" x14ac:dyDescent="0.2">
      <c r="B85" s="20"/>
      <c r="C85" s="21"/>
      <c r="D85" s="67"/>
      <c r="E85" s="67"/>
      <c r="F85" s="67"/>
      <c r="G85" s="67"/>
      <c r="H85" s="67"/>
      <c r="I85" s="67"/>
      <c r="J85" s="67"/>
      <c r="K85" s="67"/>
    </row>
    <row r="86" spans="2:11" ht="15" x14ac:dyDescent="0.25">
      <c r="B86" s="153"/>
      <c r="C86" s="14" t="s">
        <v>922</v>
      </c>
      <c r="D86" s="65">
        <f>SUM(D87:D91)</f>
        <v>0</v>
      </c>
      <c r="E86" s="65">
        <f t="shared" ref="E86:K86" si="11">SUM(E87:E91)</f>
        <v>0</v>
      </c>
      <c r="F86" s="65">
        <f t="shared" si="11"/>
        <v>0</v>
      </c>
      <c r="G86" s="65">
        <f t="shared" si="11"/>
        <v>2919.4139</v>
      </c>
      <c r="H86" s="65">
        <f t="shared" si="11"/>
        <v>685.60401000000013</v>
      </c>
      <c r="I86" s="65">
        <f t="shared" si="11"/>
        <v>3605.0179099999996</v>
      </c>
      <c r="J86" s="65">
        <f t="shared" si="11"/>
        <v>3605.0179099999996</v>
      </c>
      <c r="K86" s="65">
        <f t="shared" si="11"/>
        <v>0</v>
      </c>
    </row>
    <row r="87" spans="2:11" x14ac:dyDescent="0.2">
      <c r="B87" s="162" t="s">
        <v>923</v>
      </c>
      <c r="C87" s="3" t="s">
        <v>850</v>
      </c>
      <c r="D87" s="67">
        <f>+BALANCE!D323+BALANCE!D360+BALANCE!D397</f>
        <v>0</v>
      </c>
      <c r="E87" s="67">
        <f>+BALANCE!E323+BALANCE!E360+BALANCE!E397</f>
        <v>0</v>
      </c>
      <c r="F87" s="67">
        <f>+BALANCE!F323+BALANCE!F360+BALANCE!F397</f>
        <v>0</v>
      </c>
      <c r="G87" s="67">
        <f>+BALANCE!G323+BALANCE!G360+BALANCE!G397</f>
        <v>1119.2076399999999</v>
      </c>
      <c r="H87" s="67">
        <f>+BALANCE!H323+BALANCE!H360+BALANCE!H397</f>
        <v>159.68591000000001</v>
      </c>
      <c r="I87" s="67">
        <f>+BALANCE!I323+BALANCE!I360+BALANCE!I397</f>
        <v>1278.8935499999998</v>
      </c>
      <c r="J87" s="67">
        <f>+BALANCE!J323+BALANCE!J360+BALANCE!J397</f>
        <v>1278.8935499999998</v>
      </c>
      <c r="K87" s="67">
        <f>+BALANCE!K323+BALANCE!K360+BALANCE!K397</f>
        <v>0</v>
      </c>
    </row>
    <row r="88" spans="2:11" x14ac:dyDescent="0.2">
      <c r="B88" s="162" t="s">
        <v>924</v>
      </c>
      <c r="C88" s="3" t="s">
        <v>852</v>
      </c>
      <c r="D88" s="67">
        <f>+BALANCE!D324+BALANCE!D361+BALANCE!D398</f>
        <v>0</v>
      </c>
      <c r="E88" s="67">
        <f>+BALANCE!E324+BALANCE!E361+BALANCE!E398</f>
        <v>0</v>
      </c>
      <c r="F88" s="67">
        <f>+BALANCE!F324+BALANCE!F361+BALANCE!F398</f>
        <v>0</v>
      </c>
      <c r="G88" s="67">
        <f>+BALANCE!G324+BALANCE!G361+BALANCE!G398</f>
        <v>1140.9024999999999</v>
      </c>
      <c r="H88" s="67">
        <f>+BALANCE!H324+BALANCE!H361+BALANCE!H398</f>
        <v>379.42948999999999</v>
      </c>
      <c r="I88" s="67">
        <f>+BALANCE!I324+BALANCE!I361+BALANCE!I398</f>
        <v>1520.3319899999999</v>
      </c>
      <c r="J88" s="67">
        <f>+BALANCE!J324+BALANCE!J361+BALANCE!J398</f>
        <v>1520.3319899999999</v>
      </c>
      <c r="K88" s="67">
        <f>+BALANCE!K324+BALANCE!K361+BALANCE!K398</f>
        <v>0</v>
      </c>
    </row>
    <row r="89" spans="2:11" x14ac:dyDescent="0.2">
      <c r="B89" s="162" t="s">
        <v>925</v>
      </c>
      <c r="C89" s="3" t="s">
        <v>854</v>
      </c>
      <c r="D89" s="67">
        <f>+BALANCE!D325+BALANCE!D362+BALANCE!D399</f>
        <v>0</v>
      </c>
      <c r="E89" s="67">
        <f>+BALANCE!E325+BALANCE!E362+BALANCE!E399</f>
        <v>0</v>
      </c>
      <c r="F89" s="67">
        <f>+BALANCE!F325+BALANCE!F362+BALANCE!F399</f>
        <v>0</v>
      </c>
      <c r="G89" s="67">
        <f>+BALANCE!G325+BALANCE!G362+BALANCE!G399</f>
        <v>653.08675999999991</v>
      </c>
      <c r="H89" s="67">
        <f>+BALANCE!H325+BALANCE!H362+BALANCE!H399</f>
        <v>130.33035000000001</v>
      </c>
      <c r="I89" s="67">
        <f>+BALANCE!I325+BALANCE!I362+BALANCE!I399</f>
        <v>783.41710999999987</v>
      </c>
      <c r="J89" s="67">
        <f>+BALANCE!J325+BALANCE!J362+BALANCE!J399</f>
        <v>783.41710999999987</v>
      </c>
      <c r="K89" s="67">
        <f>+BALANCE!K325+BALANCE!K362+BALANCE!K399</f>
        <v>0</v>
      </c>
    </row>
    <row r="90" spans="2:11" x14ac:dyDescent="0.2">
      <c r="B90" s="162" t="s">
        <v>926</v>
      </c>
      <c r="C90" s="3" t="s">
        <v>856</v>
      </c>
      <c r="D90" s="67">
        <f>+BALANCE!D326+BALANCE!D363+BALANCE!D400</f>
        <v>0</v>
      </c>
      <c r="E90" s="67">
        <f>+BALANCE!E326+BALANCE!E363+BALANCE!E400</f>
        <v>0</v>
      </c>
      <c r="F90" s="67">
        <f>+BALANCE!F326+BALANCE!F363+BALANCE!F400</f>
        <v>0</v>
      </c>
      <c r="G90" s="67">
        <f>+BALANCE!G326+BALANCE!G363+BALANCE!G400</f>
        <v>2.802</v>
      </c>
      <c r="H90" s="67">
        <f>+BALANCE!H326+BALANCE!H363+BALANCE!H400</f>
        <v>13.06826</v>
      </c>
      <c r="I90" s="67">
        <f>+BALANCE!I326+BALANCE!I363+BALANCE!I400</f>
        <v>15.870260000000002</v>
      </c>
      <c r="J90" s="67">
        <f>+BALANCE!J326+BALANCE!J363+BALANCE!J400</f>
        <v>15.870260000000002</v>
      </c>
      <c r="K90" s="67">
        <f>+BALANCE!K326+BALANCE!K363+BALANCE!K400</f>
        <v>0</v>
      </c>
    </row>
    <row r="91" spans="2:11" x14ac:dyDescent="0.2">
      <c r="B91" s="162" t="s">
        <v>927</v>
      </c>
      <c r="C91" s="3" t="s">
        <v>858</v>
      </c>
      <c r="D91" s="67">
        <f>+BALANCE!D327+BALANCE!D364+BALANCE!D401</f>
        <v>0</v>
      </c>
      <c r="E91" s="67">
        <f>+BALANCE!E327+BALANCE!E364+BALANCE!E401</f>
        <v>0</v>
      </c>
      <c r="F91" s="67">
        <f>+BALANCE!F327+BALANCE!F364+BALANCE!F401</f>
        <v>0</v>
      </c>
      <c r="G91" s="67">
        <f>+BALANCE!G327+BALANCE!G364+BALANCE!G401</f>
        <v>3.415</v>
      </c>
      <c r="H91" s="67">
        <f>+BALANCE!H327+BALANCE!H364+BALANCE!H401</f>
        <v>3.09</v>
      </c>
      <c r="I91" s="67">
        <f>+BALANCE!I327+BALANCE!I364+BALANCE!I401</f>
        <v>6.5049999999999999</v>
      </c>
      <c r="J91" s="67">
        <f>+BALANCE!J327+BALANCE!J364+BALANCE!J401</f>
        <v>6.5049999999999999</v>
      </c>
      <c r="K91" s="67">
        <f>+BALANCE!K327+BALANCE!K364+BALANCE!K401</f>
        <v>0</v>
      </c>
    </row>
    <row r="92" spans="2:11" x14ac:dyDescent="0.2">
      <c r="B92" s="163"/>
      <c r="C92" s="21"/>
      <c r="D92" s="67"/>
      <c r="E92" s="67"/>
      <c r="F92" s="67"/>
      <c r="G92" s="67"/>
      <c r="H92" s="67"/>
      <c r="I92" s="67"/>
      <c r="J92" s="67"/>
      <c r="K92" s="67"/>
    </row>
    <row r="93" spans="2:11" ht="15" x14ac:dyDescent="0.25">
      <c r="B93" s="153"/>
      <c r="C93" s="14" t="s">
        <v>826</v>
      </c>
      <c r="D93" s="65">
        <f>SUM(D94:D98)</f>
        <v>0</v>
      </c>
      <c r="E93" s="65">
        <f t="shared" ref="E93:K93" si="12">SUM(E94:E98)</f>
        <v>0</v>
      </c>
      <c r="F93" s="65">
        <f t="shared" si="12"/>
        <v>0</v>
      </c>
      <c r="G93" s="65">
        <f t="shared" si="12"/>
        <v>0</v>
      </c>
      <c r="H93" s="65">
        <f t="shared" si="12"/>
        <v>0</v>
      </c>
      <c r="I93" s="65">
        <f t="shared" si="12"/>
        <v>0</v>
      </c>
      <c r="J93" s="65">
        <f t="shared" si="12"/>
        <v>0</v>
      </c>
      <c r="K93" s="65">
        <f t="shared" si="12"/>
        <v>257687.12669</v>
      </c>
    </row>
    <row r="94" spans="2:11" x14ac:dyDescent="0.2">
      <c r="B94" s="162" t="s">
        <v>928</v>
      </c>
      <c r="C94" s="3" t="s">
        <v>850</v>
      </c>
      <c r="D94" s="67">
        <f>+BALANCE!D112+BALANCE!D148+BALANCE!D184</f>
        <v>0</v>
      </c>
      <c r="E94" s="67">
        <f>+BALANCE!E112+BALANCE!E148+BALANCE!E184</f>
        <v>0</v>
      </c>
      <c r="F94" s="67">
        <f>+BALANCE!F112+BALANCE!F148+BALANCE!F184</f>
        <v>0</v>
      </c>
      <c r="G94" s="67">
        <f>+BALANCE!G112+BALANCE!G148+BALANCE!G184</f>
        <v>0</v>
      </c>
      <c r="H94" s="67">
        <f>+BALANCE!H112+BALANCE!H148+BALANCE!H184</f>
        <v>0</v>
      </c>
      <c r="I94" s="67">
        <f>+BALANCE!I112+BALANCE!I148+BALANCE!I184</f>
        <v>0</v>
      </c>
      <c r="J94" s="67">
        <f>+BALANCE!J112+BALANCE!J148+BALANCE!J184</f>
        <v>0</v>
      </c>
      <c r="K94" s="67">
        <f>+BALANCE!K112+BALANCE!K148+BALANCE!K184</f>
        <v>6582.4396200000001</v>
      </c>
    </row>
    <row r="95" spans="2:11" x14ac:dyDescent="0.2">
      <c r="B95" s="162" t="s">
        <v>929</v>
      </c>
      <c r="C95" s="3" t="s">
        <v>852</v>
      </c>
      <c r="D95" s="67">
        <f>+BALANCE!D113+BALANCE!D149+BALANCE!D185</f>
        <v>0</v>
      </c>
      <c r="E95" s="67">
        <f>+BALANCE!E113+BALANCE!E149+BALANCE!E185</f>
        <v>0</v>
      </c>
      <c r="F95" s="67">
        <f>+BALANCE!F113+BALANCE!F149+BALANCE!F185</f>
        <v>0</v>
      </c>
      <c r="G95" s="67">
        <f>+BALANCE!G113+BALANCE!G149+BALANCE!G185</f>
        <v>0</v>
      </c>
      <c r="H95" s="67">
        <f>+BALANCE!H113+BALANCE!H149+BALANCE!H185</f>
        <v>0</v>
      </c>
      <c r="I95" s="67">
        <f>+BALANCE!I113+BALANCE!I149+BALANCE!I185</f>
        <v>0</v>
      </c>
      <c r="J95" s="67">
        <f>+BALANCE!J113+BALANCE!J149+BALANCE!J185</f>
        <v>0</v>
      </c>
      <c r="K95" s="67">
        <f>+BALANCE!K113+BALANCE!K149+BALANCE!K185</f>
        <v>16882.189699999999</v>
      </c>
    </row>
    <row r="96" spans="2:11" x14ac:dyDescent="0.2">
      <c r="B96" s="162" t="s">
        <v>930</v>
      </c>
      <c r="C96" s="3" t="s">
        <v>854</v>
      </c>
      <c r="D96" s="67">
        <f>+BALANCE!D114+BALANCE!D150+BALANCE!D186</f>
        <v>0</v>
      </c>
      <c r="E96" s="67">
        <f>+BALANCE!E114+BALANCE!E150+BALANCE!E186</f>
        <v>0</v>
      </c>
      <c r="F96" s="67">
        <f>+BALANCE!F114+BALANCE!F150+BALANCE!F186</f>
        <v>0</v>
      </c>
      <c r="G96" s="67">
        <f>+BALANCE!G114+BALANCE!G150+BALANCE!G186</f>
        <v>0</v>
      </c>
      <c r="H96" s="67">
        <f>+BALANCE!H114+BALANCE!H150+BALANCE!H186</f>
        <v>0</v>
      </c>
      <c r="I96" s="67">
        <f>+BALANCE!I114+BALANCE!I150+BALANCE!I186</f>
        <v>0</v>
      </c>
      <c r="J96" s="67">
        <f>+BALANCE!J114+BALANCE!J150+BALANCE!J186</f>
        <v>0</v>
      </c>
      <c r="K96" s="67">
        <f>+BALANCE!K114+BALANCE!K150+BALANCE!K186</f>
        <v>37077.20854</v>
      </c>
    </row>
    <row r="97" spans="2:11" x14ac:dyDescent="0.2">
      <c r="B97" s="162" t="s">
        <v>931</v>
      </c>
      <c r="C97" s="3" t="s">
        <v>856</v>
      </c>
      <c r="D97" s="67">
        <f>+BALANCE!D115+BALANCE!D151+BALANCE!D187</f>
        <v>0</v>
      </c>
      <c r="E97" s="67">
        <f>+BALANCE!E115+BALANCE!E151+BALANCE!E187</f>
        <v>0</v>
      </c>
      <c r="F97" s="67">
        <f>+BALANCE!F115+BALANCE!F151+BALANCE!F187</f>
        <v>0</v>
      </c>
      <c r="G97" s="67">
        <f>+BALANCE!G115+BALANCE!G151+BALANCE!G187</f>
        <v>0</v>
      </c>
      <c r="H97" s="67">
        <f>+BALANCE!H115+BALANCE!H151+BALANCE!H187</f>
        <v>0</v>
      </c>
      <c r="I97" s="67">
        <f>+BALANCE!I115+BALANCE!I151+BALANCE!I187</f>
        <v>0</v>
      </c>
      <c r="J97" s="67">
        <f>+BALANCE!J115+BALANCE!J151+BALANCE!J187</f>
        <v>0</v>
      </c>
      <c r="K97" s="67">
        <f>+BALANCE!K115+BALANCE!K151+BALANCE!K187</f>
        <v>47084.563179999997</v>
      </c>
    </row>
    <row r="98" spans="2:11" x14ac:dyDescent="0.2">
      <c r="B98" s="162" t="s">
        <v>932</v>
      </c>
      <c r="C98" s="3" t="s">
        <v>858</v>
      </c>
      <c r="D98" s="67">
        <f>+BALANCE!D116+BALANCE!D152+BALANCE!D188</f>
        <v>0</v>
      </c>
      <c r="E98" s="67">
        <f>+BALANCE!E116+BALANCE!E152+BALANCE!E188</f>
        <v>0</v>
      </c>
      <c r="F98" s="67">
        <f>+BALANCE!F116+BALANCE!F152+BALANCE!F188</f>
        <v>0</v>
      </c>
      <c r="G98" s="67">
        <f>+BALANCE!G116+BALANCE!G152+BALANCE!G188</f>
        <v>0</v>
      </c>
      <c r="H98" s="67">
        <f>+BALANCE!H116+BALANCE!H152+BALANCE!H188</f>
        <v>0</v>
      </c>
      <c r="I98" s="67">
        <f>+BALANCE!I116+BALANCE!I152+BALANCE!I188</f>
        <v>0</v>
      </c>
      <c r="J98" s="67">
        <f>+BALANCE!J116+BALANCE!J152+BALANCE!J188</f>
        <v>0</v>
      </c>
      <c r="K98" s="67">
        <f>+BALANCE!K116+BALANCE!K152+BALANCE!K188</f>
        <v>150060.72565000001</v>
      </c>
    </row>
    <row r="99" spans="2:11" x14ac:dyDescent="0.2">
      <c r="B99" s="20"/>
      <c r="C99" s="21"/>
      <c r="D99" s="67"/>
      <c r="E99" s="67"/>
      <c r="F99" s="67"/>
      <c r="G99" s="67"/>
      <c r="H99" s="67"/>
      <c r="I99" s="67"/>
      <c r="J99" s="67"/>
      <c r="K99" s="67"/>
    </row>
    <row r="100" spans="2:11" ht="15" x14ac:dyDescent="0.25">
      <c r="B100" s="153"/>
      <c r="C100" s="14" t="s">
        <v>933</v>
      </c>
      <c r="D100" s="65">
        <f>SUM(D101:D105)</f>
        <v>0</v>
      </c>
      <c r="E100" s="65">
        <f t="shared" ref="E100:K100" si="13">SUM(E101:E105)</f>
        <v>0</v>
      </c>
      <c r="F100" s="65">
        <f t="shared" si="13"/>
        <v>0</v>
      </c>
      <c r="G100" s="65">
        <f t="shared" si="13"/>
        <v>0</v>
      </c>
      <c r="H100" s="65">
        <f t="shared" si="13"/>
        <v>0</v>
      </c>
      <c r="I100" s="65">
        <f t="shared" si="13"/>
        <v>0</v>
      </c>
      <c r="J100" s="65">
        <f t="shared" si="13"/>
        <v>0</v>
      </c>
      <c r="K100" s="65">
        <f t="shared" si="13"/>
        <v>17855.219859999997</v>
      </c>
    </row>
    <row r="101" spans="2:11" x14ac:dyDescent="0.2">
      <c r="B101" s="162" t="s">
        <v>934</v>
      </c>
      <c r="C101" s="3" t="s">
        <v>850</v>
      </c>
      <c r="D101" s="67">
        <f>+BALANCE!D220+BALANCE!D256+BALANCE!D292</f>
        <v>0</v>
      </c>
      <c r="E101" s="67">
        <f>+BALANCE!E220+BALANCE!E256+BALANCE!E292</f>
        <v>0</v>
      </c>
      <c r="F101" s="67">
        <f>+BALANCE!F220+BALANCE!F256+BALANCE!F292</f>
        <v>0</v>
      </c>
      <c r="G101" s="67">
        <f>+BALANCE!G220+BALANCE!G256+BALANCE!G292</f>
        <v>0</v>
      </c>
      <c r="H101" s="67">
        <f>+BALANCE!H220+BALANCE!H256+BALANCE!H292</f>
        <v>0</v>
      </c>
      <c r="I101" s="67">
        <f>+BALANCE!I220+BALANCE!I256+BALANCE!I292</f>
        <v>0</v>
      </c>
      <c r="J101" s="67">
        <f>+BALANCE!J220+BALANCE!J256+BALANCE!J292</f>
        <v>0</v>
      </c>
      <c r="K101" s="67">
        <f>+BALANCE!K220+BALANCE!K256+BALANCE!K292</f>
        <v>732.74554999999998</v>
      </c>
    </row>
    <row r="102" spans="2:11" x14ac:dyDescent="0.2">
      <c r="B102" s="162" t="s">
        <v>935</v>
      </c>
      <c r="C102" s="3" t="s">
        <v>852</v>
      </c>
      <c r="D102" s="67">
        <f>+BALANCE!D221+BALANCE!D257+BALANCE!D293</f>
        <v>0</v>
      </c>
      <c r="E102" s="67">
        <f>+BALANCE!E221+BALANCE!E257+BALANCE!E293</f>
        <v>0</v>
      </c>
      <c r="F102" s="67">
        <f>+BALANCE!F221+BALANCE!F257+BALANCE!F293</f>
        <v>0</v>
      </c>
      <c r="G102" s="67">
        <f>+BALANCE!G221+BALANCE!G257+BALANCE!G293</f>
        <v>0</v>
      </c>
      <c r="H102" s="67">
        <f>+BALANCE!H221+BALANCE!H257+BALANCE!H293</f>
        <v>0</v>
      </c>
      <c r="I102" s="67">
        <f>+BALANCE!I221+BALANCE!I257+BALANCE!I293</f>
        <v>0</v>
      </c>
      <c r="J102" s="67">
        <f>+BALANCE!J221+BALANCE!J257+BALANCE!J293</f>
        <v>0</v>
      </c>
      <c r="K102" s="67">
        <f>+BALANCE!K221+BALANCE!K257+BALANCE!K293</f>
        <v>1254.7734700000001</v>
      </c>
    </row>
    <row r="103" spans="2:11" x14ac:dyDescent="0.2">
      <c r="B103" s="162" t="s">
        <v>936</v>
      </c>
      <c r="C103" s="3" t="s">
        <v>854</v>
      </c>
      <c r="D103" s="67">
        <f>+BALANCE!D222+BALANCE!D258+BALANCE!D294</f>
        <v>0</v>
      </c>
      <c r="E103" s="67">
        <f>+BALANCE!E222+BALANCE!E258+BALANCE!E294</f>
        <v>0</v>
      </c>
      <c r="F103" s="67">
        <f>+BALANCE!F222+BALANCE!F258+BALANCE!F294</f>
        <v>0</v>
      </c>
      <c r="G103" s="67">
        <f>+BALANCE!G222+BALANCE!G258+BALANCE!G294</f>
        <v>0</v>
      </c>
      <c r="H103" s="67">
        <f>+BALANCE!H222+BALANCE!H258+BALANCE!H294</f>
        <v>0</v>
      </c>
      <c r="I103" s="67">
        <f>+BALANCE!I222+BALANCE!I258+BALANCE!I294</f>
        <v>0</v>
      </c>
      <c r="J103" s="67">
        <f>+BALANCE!J222+BALANCE!J258+BALANCE!J294</f>
        <v>0</v>
      </c>
      <c r="K103" s="67">
        <f>+BALANCE!K222+BALANCE!K258+BALANCE!K294</f>
        <v>1879.7063800000001</v>
      </c>
    </row>
    <row r="104" spans="2:11" x14ac:dyDescent="0.2">
      <c r="B104" s="162" t="s">
        <v>937</v>
      </c>
      <c r="C104" s="3" t="s">
        <v>856</v>
      </c>
      <c r="D104" s="67">
        <f>+BALANCE!D223+BALANCE!D259+BALANCE!D295</f>
        <v>0</v>
      </c>
      <c r="E104" s="67">
        <f>+BALANCE!E223+BALANCE!E259+BALANCE!E295</f>
        <v>0</v>
      </c>
      <c r="F104" s="67">
        <f>+BALANCE!F223+BALANCE!F259+BALANCE!F295</f>
        <v>0</v>
      </c>
      <c r="G104" s="67">
        <f>+BALANCE!G223+BALANCE!G259+BALANCE!G295</f>
        <v>0</v>
      </c>
      <c r="H104" s="67">
        <f>+BALANCE!H223+BALANCE!H259+BALANCE!H295</f>
        <v>0</v>
      </c>
      <c r="I104" s="67">
        <f>+BALANCE!I223+BALANCE!I259+BALANCE!I295</f>
        <v>0</v>
      </c>
      <c r="J104" s="67">
        <f>+BALANCE!J223+BALANCE!J259+BALANCE!J295</f>
        <v>0</v>
      </c>
      <c r="K104" s="67">
        <f>+BALANCE!K223+BALANCE!K259+BALANCE!K295</f>
        <v>3220.1428299999998</v>
      </c>
    </row>
    <row r="105" spans="2:11" x14ac:dyDescent="0.2">
      <c r="B105" s="162" t="s">
        <v>938</v>
      </c>
      <c r="C105" s="3" t="s">
        <v>858</v>
      </c>
      <c r="D105" s="67">
        <f>+BALANCE!D224+BALANCE!D260+BALANCE!D296</f>
        <v>0</v>
      </c>
      <c r="E105" s="67">
        <f>+BALANCE!E224+BALANCE!E260+BALANCE!E296</f>
        <v>0</v>
      </c>
      <c r="F105" s="67">
        <f>+BALANCE!F224+BALANCE!F260+BALANCE!F296</f>
        <v>0</v>
      </c>
      <c r="G105" s="67">
        <f>+BALANCE!G224+BALANCE!G260+BALANCE!G296</f>
        <v>0</v>
      </c>
      <c r="H105" s="67">
        <f>+BALANCE!H224+BALANCE!H260+BALANCE!H296</f>
        <v>0</v>
      </c>
      <c r="I105" s="67">
        <f>+BALANCE!I224+BALANCE!I260+BALANCE!I296</f>
        <v>0</v>
      </c>
      <c r="J105" s="67">
        <f>+BALANCE!J224+BALANCE!J260+BALANCE!J296</f>
        <v>0</v>
      </c>
      <c r="K105" s="67">
        <f>+BALANCE!K224+BALANCE!K260+BALANCE!K296</f>
        <v>10767.851629999999</v>
      </c>
    </row>
    <row r="106" spans="2:11" x14ac:dyDescent="0.2">
      <c r="B106" s="20"/>
      <c r="C106" s="21"/>
      <c r="D106" s="67"/>
      <c r="E106" s="67"/>
      <c r="F106" s="67"/>
      <c r="G106" s="67"/>
      <c r="H106" s="67"/>
      <c r="I106" s="67"/>
      <c r="J106" s="67"/>
      <c r="K106" s="67"/>
    </row>
    <row r="107" spans="2:11" ht="15" x14ac:dyDescent="0.25">
      <c r="B107" s="153"/>
      <c r="C107" s="14" t="s">
        <v>939</v>
      </c>
      <c r="D107" s="65">
        <f>SUM(D108:D112)</f>
        <v>0</v>
      </c>
      <c r="E107" s="65">
        <f t="shared" ref="E107:K107" si="14">SUM(E108:E112)</f>
        <v>0</v>
      </c>
      <c r="F107" s="65">
        <f t="shared" si="14"/>
        <v>0</v>
      </c>
      <c r="G107" s="65">
        <f t="shared" si="14"/>
        <v>0</v>
      </c>
      <c r="H107" s="65">
        <f t="shared" si="14"/>
        <v>0</v>
      </c>
      <c r="I107" s="65">
        <f t="shared" si="14"/>
        <v>0</v>
      </c>
      <c r="J107" s="65">
        <f t="shared" si="14"/>
        <v>0</v>
      </c>
      <c r="K107" s="65">
        <f t="shared" si="14"/>
        <v>12416.841600000002</v>
      </c>
    </row>
    <row r="108" spans="2:11" x14ac:dyDescent="0.2">
      <c r="B108" s="162" t="s">
        <v>940</v>
      </c>
      <c r="C108" s="3" t="s">
        <v>850</v>
      </c>
      <c r="D108" s="67">
        <f>+BALANCE!D329+BALANCE!D366+BALANCE!D403</f>
        <v>0</v>
      </c>
      <c r="E108" s="67">
        <f>+BALANCE!E329+BALANCE!E366+BALANCE!E403</f>
        <v>0</v>
      </c>
      <c r="F108" s="67">
        <f>+BALANCE!F329+BALANCE!F366+BALANCE!F403</f>
        <v>0</v>
      </c>
      <c r="G108" s="67">
        <f>+BALANCE!G329+BALANCE!G366+BALANCE!G403</f>
        <v>0</v>
      </c>
      <c r="H108" s="67">
        <f>+BALANCE!H329+BALANCE!H366+BALANCE!H403</f>
        <v>0</v>
      </c>
      <c r="I108" s="67">
        <f>+BALANCE!I329+BALANCE!I366+BALANCE!I403</f>
        <v>0</v>
      </c>
      <c r="J108" s="67">
        <f>+BALANCE!J329+BALANCE!J366+BALANCE!J403</f>
        <v>0</v>
      </c>
      <c r="K108" s="67">
        <f>+BALANCE!K329+BALANCE!K366+BALANCE!K403</f>
        <v>139.6902</v>
      </c>
    </row>
    <row r="109" spans="2:11" x14ac:dyDescent="0.2">
      <c r="B109" s="162" t="s">
        <v>941</v>
      </c>
      <c r="C109" s="3" t="s">
        <v>852</v>
      </c>
      <c r="D109" s="67">
        <f>+BALANCE!D330+BALANCE!D367+BALANCE!D404</f>
        <v>0</v>
      </c>
      <c r="E109" s="67">
        <f>+BALANCE!E330+BALANCE!E367+BALANCE!E404</f>
        <v>0</v>
      </c>
      <c r="F109" s="67">
        <f>+BALANCE!F330+BALANCE!F367+BALANCE!F404</f>
        <v>0</v>
      </c>
      <c r="G109" s="67">
        <f>+BALANCE!G330+BALANCE!G367+BALANCE!G404</f>
        <v>0</v>
      </c>
      <c r="H109" s="67">
        <f>+BALANCE!H330+BALANCE!H367+BALANCE!H404</f>
        <v>0</v>
      </c>
      <c r="I109" s="67">
        <f>+BALANCE!I330+BALANCE!I367+BALANCE!I404</f>
        <v>0</v>
      </c>
      <c r="J109" s="67">
        <f>+BALANCE!J330+BALANCE!J367+BALANCE!J404</f>
        <v>0</v>
      </c>
      <c r="K109" s="67">
        <f>+BALANCE!K330+BALANCE!K367+BALANCE!K404</f>
        <v>3389.0017600000001</v>
      </c>
    </row>
    <row r="110" spans="2:11" x14ac:dyDescent="0.2">
      <c r="B110" s="162" t="s">
        <v>942</v>
      </c>
      <c r="C110" s="3" t="s">
        <v>854</v>
      </c>
      <c r="D110" s="67">
        <f>+BALANCE!D331+BALANCE!D368+BALANCE!D405</f>
        <v>0</v>
      </c>
      <c r="E110" s="67">
        <f>+BALANCE!E331+BALANCE!E368+BALANCE!E405</f>
        <v>0</v>
      </c>
      <c r="F110" s="67">
        <f>+BALANCE!F331+BALANCE!F368+BALANCE!F405</f>
        <v>0</v>
      </c>
      <c r="G110" s="67">
        <f>+BALANCE!G331+BALANCE!G368+BALANCE!G405</f>
        <v>0</v>
      </c>
      <c r="H110" s="67">
        <f>+BALANCE!H331+BALANCE!H368+BALANCE!H405</f>
        <v>0</v>
      </c>
      <c r="I110" s="67">
        <f>+BALANCE!I331+BALANCE!I368+BALANCE!I405</f>
        <v>0</v>
      </c>
      <c r="J110" s="67">
        <f>+BALANCE!J331+BALANCE!J368+BALANCE!J405</f>
        <v>0</v>
      </c>
      <c r="K110" s="67">
        <f>+BALANCE!K331+BALANCE!K368+BALANCE!K405</f>
        <v>900.99689000000001</v>
      </c>
    </row>
    <row r="111" spans="2:11" x14ac:dyDescent="0.2">
      <c r="B111" s="162" t="s">
        <v>943</v>
      </c>
      <c r="C111" s="3" t="s">
        <v>856</v>
      </c>
      <c r="D111" s="67">
        <f>+BALANCE!D332+BALANCE!D369+BALANCE!D406</f>
        <v>0</v>
      </c>
      <c r="E111" s="67">
        <f>+BALANCE!E332+BALANCE!E369+BALANCE!E406</f>
        <v>0</v>
      </c>
      <c r="F111" s="67">
        <f>+BALANCE!F332+BALANCE!F369+BALANCE!F406</f>
        <v>0</v>
      </c>
      <c r="G111" s="67">
        <f>+BALANCE!G332+BALANCE!G369+BALANCE!G406</f>
        <v>0</v>
      </c>
      <c r="H111" s="67">
        <f>+BALANCE!H332+BALANCE!H369+BALANCE!H406</f>
        <v>0</v>
      </c>
      <c r="I111" s="67">
        <f>+BALANCE!I332+BALANCE!I369+BALANCE!I406</f>
        <v>0</v>
      </c>
      <c r="J111" s="67">
        <f>+BALANCE!J332+BALANCE!J369+BALANCE!J406</f>
        <v>0</v>
      </c>
      <c r="K111" s="67">
        <f>+BALANCE!K332+BALANCE!K369+BALANCE!K406</f>
        <v>7525.80332</v>
      </c>
    </row>
    <row r="112" spans="2:11" x14ac:dyDescent="0.2">
      <c r="B112" s="162" t="s">
        <v>944</v>
      </c>
      <c r="C112" s="3" t="s">
        <v>858</v>
      </c>
      <c r="D112" s="67">
        <f>+BALANCE!D333+BALANCE!D370+BALANCE!D407</f>
        <v>0</v>
      </c>
      <c r="E112" s="67">
        <f>+BALANCE!E333+BALANCE!E370+BALANCE!E407</f>
        <v>0</v>
      </c>
      <c r="F112" s="67">
        <f>+BALANCE!F333+BALANCE!F370+BALANCE!F407</f>
        <v>0</v>
      </c>
      <c r="G112" s="67">
        <f>+BALANCE!G333+BALANCE!G370+BALANCE!G407</f>
        <v>0</v>
      </c>
      <c r="H112" s="67">
        <f>+BALANCE!H333+BALANCE!H370+BALANCE!H407</f>
        <v>0</v>
      </c>
      <c r="I112" s="67">
        <f>+BALANCE!I333+BALANCE!I370+BALANCE!I407</f>
        <v>0</v>
      </c>
      <c r="J112" s="67">
        <f>+BALANCE!J333+BALANCE!J370+BALANCE!J407</f>
        <v>0</v>
      </c>
      <c r="K112" s="67">
        <f>+BALANCE!K333+BALANCE!K370+BALANCE!K407</f>
        <v>461.34942999999998</v>
      </c>
    </row>
    <row r="113" spans="2:11" x14ac:dyDescent="0.2">
      <c r="B113" s="20"/>
      <c r="C113" s="21"/>
      <c r="D113" s="67"/>
      <c r="E113" s="67"/>
      <c r="F113" s="67"/>
      <c r="G113" s="67"/>
      <c r="H113" s="67"/>
      <c r="I113" s="67"/>
      <c r="J113" s="67"/>
      <c r="K113" s="67"/>
    </row>
    <row r="114" spans="2:11" ht="15" x14ac:dyDescent="0.25">
      <c r="B114" s="153"/>
      <c r="C114" s="14" t="s">
        <v>945</v>
      </c>
      <c r="D114" s="65">
        <f>SUM(D115:D119)</f>
        <v>0</v>
      </c>
      <c r="E114" s="65">
        <f t="shared" ref="E114:K114" si="15">SUM(E115:E119)</f>
        <v>0</v>
      </c>
      <c r="F114" s="65">
        <f t="shared" si="15"/>
        <v>947585.5326700001</v>
      </c>
      <c r="G114" s="65">
        <f t="shared" si="15"/>
        <v>0</v>
      </c>
      <c r="H114" s="65">
        <f t="shared" si="15"/>
        <v>0</v>
      </c>
      <c r="I114" s="65">
        <f t="shared" si="15"/>
        <v>947585.5326700001</v>
      </c>
      <c r="J114" s="65">
        <f t="shared" si="15"/>
        <v>947585.5326700001</v>
      </c>
      <c r="K114" s="65">
        <f t="shared" si="15"/>
        <v>0</v>
      </c>
    </row>
    <row r="115" spans="2:11" x14ac:dyDescent="0.2">
      <c r="B115" s="162" t="s">
        <v>946</v>
      </c>
      <c r="C115" s="3" t="s">
        <v>850</v>
      </c>
      <c r="D115" s="67">
        <f>+BALANCE!D118+BALANCE!D154+BALANCE!D190</f>
        <v>0</v>
      </c>
      <c r="E115" s="67">
        <f>+BALANCE!E118+BALANCE!E154+BALANCE!E190</f>
        <v>0</v>
      </c>
      <c r="F115" s="67">
        <f>+BALANCE!F118+BALANCE!F154+BALANCE!F190</f>
        <v>22216.21285</v>
      </c>
      <c r="G115" s="67">
        <f>+BALANCE!G118+BALANCE!G154+BALANCE!G190</f>
        <v>0</v>
      </c>
      <c r="H115" s="67">
        <f>+BALANCE!H118+BALANCE!H154+BALANCE!H190</f>
        <v>0</v>
      </c>
      <c r="I115" s="67">
        <f>+BALANCE!I118+BALANCE!I154+BALANCE!I190</f>
        <v>22216.21285</v>
      </c>
      <c r="J115" s="67">
        <f>+BALANCE!J118+BALANCE!J154+BALANCE!J190</f>
        <v>22216.21285</v>
      </c>
      <c r="K115" s="67">
        <f>+BALANCE!K118+BALANCE!K154+BALANCE!K190</f>
        <v>0</v>
      </c>
    </row>
    <row r="116" spans="2:11" x14ac:dyDescent="0.2">
      <c r="B116" s="162" t="s">
        <v>947</v>
      </c>
      <c r="C116" s="3" t="s">
        <v>852</v>
      </c>
      <c r="D116" s="67">
        <f>+BALANCE!D119+BALANCE!D155+BALANCE!D191</f>
        <v>0</v>
      </c>
      <c r="E116" s="67">
        <f>+BALANCE!E119+BALANCE!E155+BALANCE!E191</f>
        <v>0</v>
      </c>
      <c r="F116" s="67">
        <f>+BALANCE!F119+BALANCE!F155+BALANCE!F191</f>
        <v>43923.507279999998</v>
      </c>
      <c r="G116" s="67">
        <f>+BALANCE!G119+BALANCE!G155+BALANCE!G191</f>
        <v>0</v>
      </c>
      <c r="H116" s="67">
        <f>+BALANCE!H119+BALANCE!H155+BALANCE!H191</f>
        <v>0</v>
      </c>
      <c r="I116" s="67">
        <f>+BALANCE!I119+BALANCE!I155+BALANCE!I191</f>
        <v>43923.507279999998</v>
      </c>
      <c r="J116" s="67">
        <f>+BALANCE!J119+BALANCE!J155+BALANCE!J191</f>
        <v>43923.507279999998</v>
      </c>
      <c r="K116" s="67">
        <f>+BALANCE!K119+BALANCE!K155+BALANCE!K191</f>
        <v>0</v>
      </c>
    </row>
    <row r="117" spans="2:11" x14ac:dyDescent="0.2">
      <c r="B117" s="162" t="s">
        <v>948</v>
      </c>
      <c r="C117" s="3" t="s">
        <v>854</v>
      </c>
      <c r="D117" s="67">
        <f>+BALANCE!D120+BALANCE!D156+BALANCE!D192</f>
        <v>0</v>
      </c>
      <c r="E117" s="67">
        <f>+BALANCE!E120+BALANCE!E156+BALANCE!E192</f>
        <v>0</v>
      </c>
      <c r="F117" s="67">
        <f>+BALANCE!F120+BALANCE!F156+BALANCE!F192</f>
        <v>63771.103640000001</v>
      </c>
      <c r="G117" s="67">
        <f>+BALANCE!G120+BALANCE!G156+BALANCE!G192</f>
        <v>0</v>
      </c>
      <c r="H117" s="67">
        <f>+BALANCE!H120+BALANCE!H156+BALANCE!H192</f>
        <v>0</v>
      </c>
      <c r="I117" s="67">
        <f>+BALANCE!I120+BALANCE!I156+BALANCE!I192</f>
        <v>63771.103640000001</v>
      </c>
      <c r="J117" s="67">
        <f>+BALANCE!J120+BALANCE!J156+BALANCE!J192</f>
        <v>63771.103640000001</v>
      </c>
      <c r="K117" s="67">
        <f>+BALANCE!K120+BALANCE!K156+BALANCE!K192</f>
        <v>0</v>
      </c>
    </row>
    <row r="118" spans="2:11" x14ac:dyDescent="0.2">
      <c r="B118" s="162" t="s">
        <v>949</v>
      </c>
      <c r="C118" s="3" t="s">
        <v>856</v>
      </c>
      <c r="D118" s="67">
        <f>+BALANCE!D121+BALANCE!D157+BALANCE!D193</f>
        <v>0</v>
      </c>
      <c r="E118" s="67">
        <f>+BALANCE!E121+BALANCE!E157+BALANCE!E193</f>
        <v>0</v>
      </c>
      <c r="F118" s="67">
        <f>+BALANCE!F121+BALANCE!F157+BALANCE!F193</f>
        <v>118606.46897</v>
      </c>
      <c r="G118" s="67">
        <f>+BALANCE!G121+BALANCE!G157+BALANCE!G193</f>
        <v>0</v>
      </c>
      <c r="H118" s="67">
        <f>+BALANCE!H121+BALANCE!H157+BALANCE!H193</f>
        <v>0</v>
      </c>
      <c r="I118" s="67">
        <f>+BALANCE!I121+BALANCE!I157+BALANCE!I193</f>
        <v>118606.46897</v>
      </c>
      <c r="J118" s="67">
        <f>+BALANCE!J121+BALANCE!J157+BALANCE!J193</f>
        <v>118606.46897</v>
      </c>
      <c r="K118" s="67">
        <f>+BALANCE!K121+BALANCE!K157+BALANCE!K193</f>
        <v>0</v>
      </c>
    </row>
    <row r="119" spans="2:11" x14ac:dyDescent="0.2">
      <c r="B119" s="162" t="s">
        <v>950</v>
      </c>
      <c r="C119" s="3" t="s">
        <v>858</v>
      </c>
      <c r="D119" s="67">
        <f>+BALANCE!D122+BALANCE!D158+BALANCE!D194</f>
        <v>0</v>
      </c>
      <c r="E119" s="67">
        <f>+BALANCE!E122+BALANCE!E158+BALANCE!E194</f>
        <v>0</v>
      </c>
      <c r="F119" s="67">
        <f>+BALANCE!F122+BALANCE!F158+BALANCE!F194</f>
        <v>699068.23993000004</v>
      </c>
      <c r="G119" s="67">
        <f>+BALANCE!G122+BALANCE!G158+BALANCE!G194</f>
        <v>0</v>
      </c>
      <c r="H119" s="67">
        <f>+BALANCE!H122+BALANCE!H158+BALANCE!H194</f>
        <v>0</v>
      </c>
      <c r="I119" s="67">
        <f>+BALANCE!I122+BALANCE!I158+BALANCE!I194</f>
        <v>699068.23993000004</v>
      </c>
      <c r="J119" s="67">
        <f>+BALANCE!J122+BALANCE!J158+BALANCE!J194</f>
        <v>699068.23993000004</v>
      </c>
      <c r="K119" s="67">
        <f>+BALANCE!K122+BALANCE!K158+BALANCE!K194</f>
        <v>0</v>
      </c>
    </row>
    <row r="120" spans="2:11" x14ac:dyDescent="0.2">
      <c r="B120" s="20"/>
      <c r="C120" s="21"/>
      <c r="D120" s="67"/>
      <c r="E120" s="67"/>
      <c r="F120" s="67"/>
      <c r="G120" s="67"/>
      <c r="H120" s="67"/>
      <c r="I120" s="67"/>
      <c r="J120" s="67"/>
      <c r="K120" s="67"/>
    </row>
    <row r="121" spans="2:11" ht="15" x14ac:dyDescent="0.25">
      <c r="B121" s="153"/>
      <c r="C121" s="14" t="s">
        <v>951</v>
      </c>
      <c r="D121" s="65">
        <f>SUM(D122:D126)</f>
        <v>0</v>
      </c>
      <c r="E121" s="65">
        <f t="shared" ref="E121:K121" si="16">SUM(E122:E126)</f>
        <v>0</v>
      </c>
      <c r="F121" s="65">
        <f t="shared" si="16"/>
        <v>192.62246999999999</v>
      </c>
      <c r="G121" s="65">
        <f t="shared" si="16"/>
        <v>0</v>
      </c>
      <c r="H121" s="65">
        <f t="shared" si="16"/>
        <v>0</v>
      </c>
      <c r="I121" s="65">
        <f t="shared" si="16"/>
        <v>192.62246999999999</v>
      </c>
      <c r="J121" s="65">
        <f t="shared" si="16"/>
        <v>192.62246999999999</v>
      </c>
      <c r="K121" s="65">
        <f t="shared" si="16"/>
        <v>0</v>
      </c>
    </row>
    <row r="122" spans="2:11" x14ac:dyDescent="0.2">
      <c r="B122" s="162" t="s">
        <v>952</v>
      </c>
      <c r="C122" s="3" t="s">
        <v>850</v>
      </c>
      <c r="D122" s="67">
        <f>+BALANCE!D226+BALANCE!D262+BALANCE!D298</f>
        <v>0</v>
      </c>
      <c r="E122" s="67">
        <f>+BALANCE!E226+BALANCE!E262+BALANCE!E298</f>
        <v>0</v>
      </c>
      <c r="F122" s="67">
        <f>+BALANCE!F226+BALANCE!F262+BALANCE!F298</f>
        <v>36.364220000000003</v>
      </c>
      <c r="G122" s="67">
        <f>+BALANCE!G226+BALANCE!G262+BALANCE!G298</f>
        <v>0</v>
      </c>
      <c r="H122" s="67">
        <f>+BALANCE!H226+BALANCE!H262+BALANCE!H298</f>
        <v>0</v>
      </c>
      <c r="I122" s="67">
        <f>+BALANCE!I226+BALANCE!I262+BALANCE!I298</f>
        <v>36.364220000000003</v>
      </c>
      <c r="J122" s="67">
        <f>+BALANCE!J226+BALANCE!J262+BALANCE!J298</f>
        <v>36.364220000000003</v>
      </c>
      <c r="K122" s="67">
        <f>+BALANCE!K226+BALANCE!K262+BALANCE!K298</f>
        <v>0</v>
      </c>
    </row>
    <row r="123" spans="2:11" x14ac:dyDescent="0.2">
      <c r="B123" s="162" t="s">
        <v>953</v>
      </c>
      <c r="C123" s="3" t="s">
        <v>852</v>
      </c>
      <c r="D123" s="67">
        <f>+BALANCE!D227+BALANCE!D263+BALANCE!D299</f>
        <v>0</v>
      </c>
      <c r="E123" s="67">
        <f>+BALANCE!E227+BALANCE!E263+BALANCE!E299</f>
        <v>0</v>
      </c>
      <c r="F123" s="67">
        <f>+BALANCE!F227+BALANCE!F263+BALANCE!F299</f>
        <v>36.75797</v>
      </c>
      <c r="G123" s="67">
        <f>+BALANCE!G227+BALANCE!G263+BALANCE!G299</f>
        <v>0</v>
      </c>
      <c r="H123" s="67">
        <f>+BALANCE!H227+BALANCE!H263+BALANCE!H299</f>
        <v>0</v>
      </c>
      <c r="I123" s="67">
        <f>+BALANCE!I227+BALANCE!I263+BALANCE!I299</f>
        <v>36.75797</v>
      </c>
      <c r="J123" s="67">
        <f>+BALANCE!J227+BALANCE!J263+BALANCE!J299</f>
        <v>36.75797</v>
      </c>
      <c r="K123" s="67">
        <f>+BALANCE!K227+BALANCE!K263+BALANCE!K299</f>
        <v>0</v>
      </c>
    </row>
    <row r="124" spans="2:11" x14ac:dyDescent="0.2">
      <c r="B124" s="162" t="s">
        <v>954</v>
      </c>
      <c r="C124" s="3" t="s">
        <v>854</v>
      </c>
      <c r="D124" s="67">
        <f>+BALANCE!D228+BALANCE!D264+BALANCE!D300</f>
        <v>0</v>
      </c>
      <c r="E124" s="67">
        <f>+BALANCE!E228+BALANCE!E264+BALANCE!E300</f>
        <v>0</v>
      </c>
      <c r="F124" s="67">
        <f>+BALANCE!F228+BALANCE!F264+BALANCE!F300</f>
        <v>55.905799999999999</v>
      </c>
      <c r="G124" s="67">
        <f>+BALANCE!G228+BALANCE!G264+BALANCE!G300</f>
        <v>0</v>
      </c>
      <c r="H124" s="67">
        <f>+BALANCE!H228+BALANCE!H264+BALANCE!H300</f>
        <v>0</v>
      </c>
      <c r="I124" s="67">
        <f>+BALANCE!I228+BALANCE!I264+BALANCE!I300</f>
        <v>55.905799999999999</v>
      </c>
      <c r="J124" s="67">
        <f>+BALANCE!J228+BALANCE!J264+BALANCE!J300</f>
        <v>55.905799999999999</v>
      </c>
      <c r="K124" s="67">
        <f>+BALANCE!K228+BALANCE!K264+BALANCE!K300</f>
        <v>0</v>
      </c>
    </row>
    <row r="125" spans="2:11" x14ac:dyDescent="0.2">
      <c r="B125" s="162" t="s">
        <v>955</v>
      </c>
      <c r="C125" s="3" t="s">
        <v>856</v>
      </c>
      <c r="D125" s="67">
        <f>+BALANCE!D229+BALANCE!D265+BALANCE!D301</f>
        <v>0</v>
      </c>
      <c r="E125" s="67">
        <f>+BALANCE!E229+BALANCE!E265+BALANCE!E301</f>
        <v>0</v>
      </c>
      <c r="F125" s="67">
        <f>+BALANCE!F229+BALANCE!F265+BALANCE!F301</f>
        <v>63.594479999999997</v>
      </c>
      <c r="G125" s="67">
        <f>+BALANCE!G229+BALANCE!G265+BALANCE!G301</f>
        <v>0</v>
      </c>
      <c r="H125" s="67">
        <f>+BALANCE!H229+BALANCE!H265+BALANCE!H301</f>
        <v>0</v>
      </c>
      <c r="I125" s="67">
        <f>+BALANCE!I229+BALANCE!I265+BALANCE!I301</f>
        <v>63.594479999999997</v>
      </c>
      <c r="J125" s="67">
        <f>+BALANCE!J229+BALANCE!J265+BALANCE!J301</f>
        <v>63.594479999999997</v>
      </c>
      <c r="K125" s="67">
        <f>+BALANCE!K229+BALANCE!K265+BALANCE!K301</f>
        <v>0</v>
      </c>
    </row>
    <row r="126" spans="2:11" x14ac:dyDescent="0.2">
      <c r="B126" s="162" t="s">
        <v>956</v>
      </c>
      <c r="C126" s="3" t="s">
        <v>858</v>
      </c>
      <c r="D126" s="67">
        <f>+BALANCE!D230+BALANCE!D266+BALANCE!D302</f>
        <v>0</v>
      </c>
      <c r="E126" s="67">
        <f>+BALANCE!E230+BALANCE!E266+BALANCE!E302</f>
        <v>0</v>
      </c>
      <c r="F126" s="67">
        <f>+BALANCE!F230+BALANCE!F266+BALANCE!F302</f>
        <v>0</v>
      </c>
      <c r="G126" s="67">
        <f>+BALANCE!G230+BALANCE!G266+BALANCE!G302</f>
        <v>0</v>
      </c>
      <c r="H126" s="67">
        <f>+BALANCE!H230+BALANCE!H266+BALANCE!H302</f>
        <v>0</v>
      </c>
      <c r="I126" s="67">
        <f>+BALANCE!I230+BALANCE!I266+BALANCE!I302</f>
        <v>0</v>
      </c>
      <c r="J126" s="67">
        <f>+BALANCE!J230+BALANCE!J266+BALANCE!J302</f>
        <v>0</v>
      </c>
      <c r="K126" s="67">
        <f>+BALANCE!K230+BALANCE!K266+BALANCE!K302</f>
        <v>0</v>
      </c>
    </row>
    <row r="127" spans="2:11" x14ac:dyDescent="0.2">
      <c r="B127" s="20"/>
      <c r="C127" s="21"/>
      <c r="D127" s="67"/>
      <c r="E127" s="67"/>
      <c r="F127" s="67"/>
      <c r="G127" s="67"/>
      <c r="H127" s="67"/>
      <c r="I127" s="67"/>
      <c r="J127" s="67"/>
      <c r="K127" s="67"/>
    </row>
    <row r="128" spans="2:11" ht="15" x14ac:dyDescent="0.25">
      <c r="B128" s="153"/>
      <c r="C128" s="14" t="s">
        <v>957</v>
      </c>
      <c r="D128" s="65">
        <f>SUM(D129:D133)</f>
        <v>0</v>
      </c>
      <c r="E128" s="65">
        <f t="shared" ref="E128:K128" si="17">SUM(E129:E133)</f>
        <v>0</v>
      </c>
      <c r="F128" s="65">
        <f t="shared" si="17"/>
        <v>18.01662</v>
      </c>
      <c r="G128" s="65">
        <f t="shared" si="17"/>
        <v>0</v>
      </c>
      <c r="H128" s="65">
        <f t="shared" si="17"/>
        <v>0</v>
      </c>
      <c r="I128" s="65">
        <f t="shared" si="17"/>
        <v>18.01662</v>
      </c>
      <c r="J128" s="65">
        <f t="shared" si="17"/>
        <v>18.01662</v>
      </c>
      <c r="K128" s="65">
        <f t="shared" si="17"/>
        <v>0</v>
      </c>
    </row>
    <row r="129" spans="2:11" x14ac:dyDescent="0.2">
      <c r="B129" s="162" t="s">
        <v>958</v>
      </c>
      <c r="C129" s="3" t="s">
        <v>850</v>
      </c>
      <c r="D129" s="67">
        <f>+BALANCE!D335+BALANCE!D372+BALANCE!D409</f>
        <v>0</v>
      </c>
      <c r="E129" s="67">
        <f>+BALANCE!E335+BALANCE!E372+BALANCE!E409</f>
        <v>0</v>
      </c>
      <c r="F129" s="67">
        <f>+BALANCE!F335+BALANCE!F372+BALANCE!F409</f>
        <v>0</v>
      </c>
      <c r="G129" s="67">
        <f>+BALANCE!G335+BALANCE!G372+BALANCE!G409</f>
        <v>0</v>
      </c>
      <c r="H129" s="67">
        <f>+BALANCE!H335+BALANCE!H372+BALANCE!H409</f>
        <v>0</v>
      </c>
      <c r="I129" s="67">
        <f>+BALANCE!I335+BALANCE!I372+BALANCE!I409</f>
        <v>0</v>
      </c>
      <c r="J129" s="67">
        <f>+BALANCE!J335+BALANCE!J372+BALANCE!J409</f>
        <v>0</v>
      </c>
      <c r="K129" s="67">
        <f>+BALANCE!K335+BALANCE!K372+BALANCE!K409</f>
        <v>0</v>
      </c>
    </row>
    <row r="130" spans="2:11" x14ac:dyDescent="0.2">
      <c r="B130" s="162" t="s">
        <v>959</v>
      </c>
      <c r="C130" s="3" t="s">
        <v>852</v>
      </c>
      <c r="D130" s="67">
        <f>+BALANCE!D336+BALANCE!D373+BALANCE!D410</f>
        <v>0</v>
      </c>
      <c r="E130" s="67">
        <f>+BALANCE!E336+BALANCE!E373+BALANCE!E410</f>
        <v>0</v>
      </c>
      <c r="F130" s="67">
        <f>+BALANCE!F336+BALANCE!F373+BALANCE!F410</f>
        <v>18.01662</v>
      </c>
      <c r="G130" s="67">
        <f>+BALANCE!G336+BALANCE!G373+BALANCE!G410</f>
        <v>0</v>
      </c>
      <c r="H130" s="67">
        <f>+BALANCE!H336+BALANCE!H373+BALANCE!H410</f>
        <v>0</v>
      </c>
      <c r="I130" s="67">
        <f>+BALANCE!I336+BALANCE!I373+BALANCE!I410</f>
        <v>18.01662</v>
      </c>
      <c r="J130" s="67">
        <f>+BALANCE!J336+BALANCE!J373+BALANCE!J410</f>
        <v>18.01662</v>
      </c>
      <c r="K130" s="67">
        <f>+BALANCE!K336+BALANCE!K373+BALANCE!K410</f>
        <v>0</v>
      </c>
    </row>
    <row r="131" spans="2:11" x14ac:dyDescent="0.2">
      <c r="B131" s="162" t="s">
        <v>960</v>
      </c>
      <c r="C131" s="3" t="s">
        <v>854</v>
      </c>
      <c r="D131" s="67">
        <f>+BALANCE!D337+BALANCE!D374+BALANCE!D411</f>
        <v>0</v>
      </c>
      <c r="E131" s="67">
        <f>+BALANCE!E337+BALANCE!E374+BALANCE!E411</f>
        <v>0</v>
      </c>
      <c r="F131" s="67">
        <f>+BALANCE!F337+BALANCE!F374+BALANCE!F411</f>
        <v>0</v>
      </c>
      <c r="G131" s="67">
        <f>+BALANCE!G337+BALANCE!G374+BALANCE!G411</f>
        <v>0</v>
      </c>
      <c r="H131" s="67">
        <f>+BALANCE!H337+BALANCE!H374+BALANCE!H411</f>
        <v>0</v>
      </c>
      <c r="I131" s="67">
        <f>+BALANCE!I337+BALANCE!I374+BALANCE!I411</f>
        <v>0</v>
      </c>
      <c r="J131" s="67">
        <f>+BALANCE!J337+BALANCE!J374+BALANCE!J411</f>
        <v>0</v>
      </c>
      <c r="K131" s="67">
        <f>+BALANCE!K337+BALANCE!K374+BALANCE!K411</f>
        <v>0</v>
      </c>
    </row>
    <row r="132" spans="2:11" x14ac:dyDescent="0.2">
      <c r="B132" s="162" t="s">
        <v>961</v>
      </c>
      <c r="C132" s="3" t="s">
        <v>856</v>
      </c>
      <c r="D132" s="67">
        <f>+BALANCE!D338+BALANCE!D375+BALANCE!D412</f>
        <v>0</v>
      </c>
      <c r="E132" s="67">
        <f>+BALANCE!E338+BALANCE!E375+BALANCE!E412</f>
        <v>0</v>
      </c>
      <c r="F132" s="67">
        <f>+BALANCE!F338+BALANCE!F375+BALANCE!F412</f>
        <v>0</v>
      </c>
      <c r="G132" s="67">
        <f>+BALANCE!G338+BALANCE!G375+BALANCE!G412</f>
        <v>0</v>
      </c>
      <c r="H132" s="67">
        <f>+BALANCE!H338+BALANCE!H375+BALANCE!H412</f>
        <v>0</v>
      </c>
      <c r="I132" s="67">
        <f>+BALANCE!I338+BALANCE!I375+BALANCE!I412</f>
        <v>0</v>
      </c>
      <c r="J132" s="67">
        <f>+BALANCE!J338+BALANCE!J375+BALANCE!J412</f>
        <v>0</v>
      </c>
      <c r="K132" s="67">
        <f>+BALANCE!K338+BALANCE!K375+BALANCE!K412</f>
        <v>0</v>
      </c>
    </row>
    <row r="133" spans="2:11" x14ac:dyDescent="0.2">
      <c r="B133" s="162" t="s">
        <v>962</v>
      </c>
      <c r="C133" s="3" t="s">
        <v>858</v>
      </c>
      <c r="D133" s="67">
        <f>+BALANCE!D339+BALANCE!D376+BALANCE!D413</f>
        <v>0</v>
      </c>
      <c r="E133" s="67">
        <f>+BALANCE!E339+BALANCE!E376+BALANCE!E413</f>
        <v>0</v>
      </c>
      <c r="F133" s="67">
        <f>+BALANCE!F339+BALANCE!F376+BALANCE!F413</f>
        <v>0</v>
      </c>
      <c r="G133" s="67">
        <f>+BALANCE!G339+BALANCE!G376+BALANCE!G413</f>
        <v>0</v>
      </c>
      <c r="H133" s="67">
        <f>+BALANCE!H339+BALANCE!H376+BALANCE!H413</f>
        <v>0</v>
      </c>
      <c r="I133" s="67">
        <f>+BALANCE!I339+BALANCE!I376+BALANCE!I413</f>
        <v>0</v>
      </c>
      <c r="J133" s="67">
        <f>+BALANCE!J339+BALANCE!J376+BALANCE!J413</f>
        <v>0</v>
      </c>
      <c r="K133" s="67">
        <f>+BALANCE!K339+BALANCE!K376+BALANCE!K413</f>
        <v>0</v>
      </c>
    </row>
    <row r="134" spans="2:11" x14ac:dyDescent="0.2">
      <c r="B134" s="20"/>
      <c r="C134" s="21"/>
      <c r="D134" s="67"/>
      <c r="E134" s="67"/>
      <c r="F134" s="67"/>
      <c r="G134" s="67"/>
      <c r="H134" s="67"/>
      <c r="I134" s="67"/>
      <c r="J134" s="67"/>
      <c r="K134" s="67"/>
    </row>
    <row r="135" spans="2:11" ht="15" x14ac:dyDescent="0.25">
      <c r="B135" s="25"/>
      <c r="C135" s="121" t="s">
        <v>963</v>
      </c>
      <c r="D135" s="164">
        <f>+D8+D15+D22+D29+D36+D43+D50+D57+D64+D72+D79+D86+D93+D100+D107+D114+D121+D128</f>
        <v>188397.69068999999</v>
      </c>
      <c r="E135" s="164">
        <f t="shared" ref="E135:K135" si="18">+E8+E15+E22+E29+E36+E43+E50+E57+E64+E72+E79+E86+E93+E100+E107+E114+E121+E128</f>
        <v>188397.69068999999</v>
      </c>
      <c r="F135" s="164">
        <f t="shared" si="18"/>
        <v>947796.17176000006</v>
      </c>
      <c r="G135" s="164">
        <f t="shared" si="18"/>
        <v>924528.22847000009</v>
      </c>
      <c r="H135" s="164">
        <f t="shared" si="18"/>
        <v>1195825.8039499999</v>
      </c>
      <c r="I135" s="164">
        <f t="shared" si="18"/>
        <v>3068150.2041799999</v>
      </c>
      <c r="J135" s="164">
        <f t="shared" si="18"/>
        <v>3256547.8948699995</v>
      </c>
      <c r="K135" s="164">
        <f t="shared" si="18"/>
        <v>287959.18815</v>
      </c>
    </row>
    <row r="136" spans="2:11" x14ac:dyDescent="0.2">
      <c r="B136" s="74"/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2:11" ht="15" x14ac:dyDescent="0.25">
      <c r="B137" s="20"/>
      <c r="C137" s="14" t="s">
        <v>964</v>
      </c>
      <c r="D137" s="65">
        <f>IF((D8+D15+D22)=0,0,((D15+D22)/(D8+D15+D22)))*100</f>
        <v>13.057851429823931</v>
      </c>
      <c r="E137" s="65">
        <f t="shared" ref="E137:K142" si="19">IF((E8+E15+E22)=0,0,((E15+E22)/(E8+E15+E22)))*100</f>
        <v>13.057851429823931</v>
      </c>
      <c r="F137" s="65">
        <f t="shared" si="19"/>
        <v>0</v>
      </c>
      <c r="G137" s="65">
        <f t="shared" si="19"/>
        <v>20.277613432515455</v>
      </c>
      <c r="H137" s="65">
        <f t="shared" si="19"/>
        <v>5.9645699494470152</v>
      </c>
      <c r="I137" s="65">
        <f t="shared" si="19"/>
        <v>10.964379892502722</v>
      </c>
      <c r="J137" s="65">
        <f t="shared" si="19"/>
        <v>11.147662397592468</v>
      </c>
      <c r="K137" s="65">
        <f t="shared" si="19"/>
        <v>0</v>
      </c>
    </row>
    <row r="138" spans="2:11" x14ac:dyDescent="0.2">
      <c r="B138" s="20"/>
      <c r="C138" s="3" t="s">
        <v>850</v>
      </c>
      <c r="D138" s="67">
        <f t="shared" ref="D138:K142" si="20">IF((D9+D16+D23)=0,0,((D16+D23)/(D9+D16+D23)))*100</f>
        <v>39.817000393935018</v>
      </c>
      <c r="E138" s="67">
        <f t="shared" si="20"/>
        <v>39.817000393935018</v>
      </c>
      <c r="F138" s="67">
        <f t="shared" si="20"/>
        <v>0</v>
      </c>
      <c r="G138" s="67">
        <f t="shared" si="20"/>
        <v>22.723773363080955</v>
      </c>
      <c r="H138" s="67">
        <f t="shared" si="20"/>
        <v>3.8882887377426316</v>
      </c>
      <c r="I138" s="67">
        <f t="shared" si="20"/>
        <v>12.178628414235938</v>
      </c>
      <c r="J138" s="67">
        <f t="shared" si="20"/>
        <v>16.380477348362344</v>
      </c>
      <c r="K138" s="67">
        <f t="shared" si="20"/>
        <v>0</v>
      </c>
    </row>
    <row r="139" spans="2:11" x14ac:dyDescent="0.2">
      <c r="B139" s="20"/>
      <c r="C139" s="3" t="s">
        <v>852</v>
      </c>
      <c r="D139" s="67">
        <f t="shared" si="20"/>
        <v>27.786669904624787</v>
      </c>
      <c r="E139" s="67">
        <f t="shared" si="19"/>
        <v>27.786669904624787</v>
      </c>
      <c r="F139" s="67">
        <f t="shared" si="19"/>
        <v>0</v>
      </c>
      <c r="G139" s="67">
        <f t="shared" si="19"/>
        <v>31.251245171774265</v>
      </c>
      <c r="H139" s="67">
        <f t="shared" si="19"/>
        <v>7.6436743485070222</v>
      </c>
      <c r="I139" s="67">
        <f t="shared" si="19"/>
        <v>17.285322881933194</v>
      </c>
      <c r="J139" s="67">
        <f t="shared" si="19"/>
        <v>18.831181150280017</v>
      </c>
      <c r="K139" s="67">
        <f t="shared" si="19"/>
        <v>0</v>
      </c>
    </row>
    <row r="140" spans="2:11" x14ac:dyDescent="0.2">
      <c r="B140" s="20"/>
      <c r="C140" s="3" t="s">
        <v>854</v>
      </c>
      <c r="D140" s="67">
        <f t="shared" si="20"/>
        <v>25.30666686689403</v>
      </c>
      <c r="E140" s="67">
        <f t="shared" si="19"/>
        <v>25.30666686689403</v>
      </c>
      <c r="F140" s="67">
        <f t="shared" si="19"/>
        <v>0</v>
      </c>
      <c r="G140" s="67">
        <f t="shared" si="19"/>
        <v>29.689598532441103</v>
      </c>
      <c r="H140" s="67">
        <f t="shared" si="19"/>
        <v>6.8240192780567286</v>
      </c>
      <c r="I140" s="67">
        <f t="shared" si="19"/>
        <v>16.331178025733248</v>
      </c>
      <c r="J140" s="67">
        <f t="shared" si="19"/>
        <v>17.666361080431191</v>
      </c>
      <c r="K140" s="67">
        <f t="shared" si="19"/>
        <v>0</v>
      </c>
    </row>
    <row r="141" spans="2:11" x14ac:dyDescent="0.2">
      <c r="B141" s="20"/>
      <c r="C141" s="3" t="s">
        <v>856</v>
      </c>
      <c r="D141" s="67">
        <f t="shared" si="20"/>
        <v>14.018599105612575</v>
      </c>
      <c r="E141" s="67">
        <f t="shared" si="19"/>
        <v>14.018599105612575</v>
      </c>
      <c r="F141" s="67">
        <f t="shared" si="19"/>
        <v>0</v>
      </c>
      <c r="G141" s="67">
        <f t="shared" si="19"/>
        <v>26.731674745561314</v>
      </c>
      <c r="H141" s="67">
        <f t="shared" si="19"/>
        <v>7.6647229467493698</v>
      </c>
      <c r="I141" s="67">
        <f t="shared" si="19"/>
        <v>16.318020405426321</v>
      </c>
      <c r="J141" s="67">
        <f t="shared" si="19"/>
        <v>15.986589691328298</v>
      </c>
      <c r="K141" s="67">
        <f t="shared" si="19"/>
        <v>0</v>
      </c>
    </row>
    <row r="142" spans="2:11" x14ac:dyDescent="0.2">
      <c r="B142" s="20"/>
      <c r="C142" s="3" t="s">
        <v>858</v>
      </c>
      <c r="D142" s="67">
        <f t="shared" si="20"/>
        <v>1.1303129584137575</v>
      </c>
      <c r="E142" s="67">
        <f t="shared" si="19"/>
        <v>1.1303129584137575</v>
      </c>
      <c r="F142" s="67">
        <f t="shared" si="19"/>
        <v>0</v>
      </c>
      <c r="G142" s="67">
        <f t="shared" si="19"/>
        <v>15.555882953360165</v>
      </c>
      <c r="H142" s="67">
        <f t="shared" si="19"/>
        <v>5.5765005134563292</v>
      </c>
      <c r="I142" s="67">
        <f t="shared" si="19"/>
        <v>8.6816133779626909</v>
      </c>
      <c r="J142" s="67">
        <f t="shared" si="19"/>
        <v>8.24298632491681</v>
      </c>
      <c r="K142" s="67">
        <f t="shared" si="19"/>
        <v>0</v>
      </c>
    </row>
    <row r="143" spans="2:11" x14ac:dyDescent="0.2">
      <c r="B143" s="20"/>
      <c r="C143" s="21"/>
      <c r="D143" s="67"/>
      <c r="E143" s="67"/>
      <c r="F143" s="67"/>
      <c r="G143" s="67"/>
      <c r="H143" s="67"/>
      <c r="I143" s="67"/>
      <c r="J143" s="67"/>
      <c r="K143" s="67"/>
    </row>
    <row r="144" spans="2:11" ht="15" x14ac:dyDescent="0.25">
      <c r="B144" s="20"/>
      <c r="C144" s="14" t="s">
        <v>965</v>
      </c>
      <c r="D144" s="65">
        <f>IF((D29+D36+D43)=0,0,((D36+D43)/(D29+D36+D43)))*100</f>
        <v>0</v>
      </c>
      <c r="E144" s="65">
        <f t="shared" ref="E144:K149" si="21">IF((E29+E36+E43)=0,0,((E36+E43)/(E29+E36+E43)))*100</f>
        <v>0</v>
      </c>
      <c r="F144" s="65">
        <f t="shared" si="21"/>
        <v>0</v>
      </c>
      <c r="G144" s="65">
        <f t="shared" si="21"/>
        <v>17.469108346236332</v>
      </c>
      <c r="H144" s="65">
        <f t="shared" si="21"/>
        <v>0</v>
      </c>
      <c r="I144" s="65">
        <f t="shared" si="21"/>
        <v>17.469108346236332</v>
      </c>
      <c r="J144" s="65">
        <f t="shared" si="21"/>
        <v>17.469108346236332</v>
      </c>
      <c r="K144" s="65">
        <f t="shared" si="21"/>
        <v>0</v>
      </c>
    </row>
    <row r="145" spans="2:11" x14ac:dyDescent="0.2">
      <c r="B145" s="20"/>
      <c r="C145" s="3" t="s">
        <v>850</v>
      </c>
      <c r="D145" s="67">
        <f t="shared" ref="D145:K149" si="22">IF((D30+D37+D44)=0,0,((D37+D44)/(D30+D37+D44)))*100</f>
        <v>0</v>
      </c>
      <c r="E145" s="67">
        <f t="shared" si="22"/>
        <v>0</v>
      </c>
      <c r="F145" s="67">
        <f t="shared" si="22"/>
        <v>0</v>
      </c>
      <c r="G145" s="67">
        <f t="shared" si="22"/>
        <v>26.077385940117882</v>
      </c>
      <c r="H145" s="67">
        <f t="shared" si="22"/>
        <v>0</v>
      </c>
      <c r="I145" s="67">
        <f t="shared" si="22"/>
        <v>26.077385940117882</v>
      </c>
      <c r="J145" s="67">
        <f t="shared" si="22"/>
        <v>26.077385940117882</v>
      </c>
      <c r="K145" s="67">
        <f t="shared" si="22"/>
        <v>0</v>
      </c>
    </row>
    <row r="146" spans="2:11" x14ac:dyDescent="0.2">
      <c r="B146" s="20"/>
      <c r="C146" s="3" t="s">
        <v>852</v>
      </c>
      <c r="D146" s="67">
        <f t="shared" si="22"/>
        <v>0</v>
      </c>
      <c r="E146" s="67">
        <f t="shared" si="21"/>
        <v>0</v>
      </c>
      <c r="F146" s="67">
        <f t="shared" si="21"/>
        <v>0</v>
      </c>
      <c r="G146" s="67">
        <f t="shared" si="21"/>
        <v>24.142018561109868</v>
      </c>
      <c r="H146" s="67">
        <f t="shared" si="21"/>
        <v>0</v>
      </c>
      <c r="I146" s="67">
        <f t="shared" si="21"/>
        <v>24.142018561109868</v>
      </c>
      <c r="J146" s="67">
        <f t="shared" si="21"/>
        <v>24.142018561109868</v>
      </c>
      <c r="K146" s="67">
        <f t="shared" si="21"/>
        <v>0</v>
      </c>
    </row>
    <row r="147" spans="2:11" x14ac:dyDescent="0.2">
      <c r="B147" s="20"/>
      <c r="C147" s="3" t="s">
        <v>854</v>
      </c>
      <c r="D147" s="67">
        <f t="shared" si="22"/>
        <v>0</v>
      </c>
      <c r="E147" s="67">
        <f t="shared" si="21"/>
        <v>0</v>
      </c>
      <c r="F147" s="67">
        <f t="shared" si="21"/>
        <v>0</v>
      </c>
      <c r="G147" s="67">
        <f t="shared" si="21"/>
        <v>19.643657862529729</v>
      </c>
      <c r="H147" s="67">
        <f t="shared" si="21"/>
        <v>0</v>
      </c>
      <c r="I147" s="67">
        <f t="shared" si="21"/>
        <v>19.643657862529729</v>
      </c>
      <c r="J147" s="67">
        <f t="shared" si="21"/>
        <v>19.643657862529729</v>
      </c>
      <c r="K147" s="67">
        <f t="shared" si="21"/>
        <v>0</v>
      </c>
    </row>
    <row r="148" spans="2:11" x14ac:dyDescent="0.2">
      <c r="B148" s="20"/>
      <c r="C148" s="3" t="s">
        <v>856</v>
      </c>
      <c r="D148" s="67">
        <f t="shared" si="22"/>
        <v>0</v>
      </c>
      <c r="E148" s="67">
        <f t="shared" si="21"/>
        <v>0</v>
      </c>
      <c r="F148" s="67">
        <f t="shared" si="21"/>
        <v>0</v>
      </c>
      <c r="G148" s="67">
        <f t="shared" si="21"/>
        <v>15.413300592370522</v>
      </c>
      <c r="H148" s="67">
        <f t="shared" si="21"/>
        <v>0</v>
      </c>
      <c r="I148" s="67">
        <f t="shared" si="21"/>
        <v>15.413300592370522</v>
      </c>
      <c r="J148" s="67">
        <f t="shared" si="21"/>
        <v>15.413300592370522</v>
      </c>
      <c r="K148" s="67">
        <f t="shared" si="21"/>
        <v>0</v>
      </c>
    </row>
    <row r="149" spans="2:11" x14ac:dyDescent="0.2">
      <c r="B149" s="20"/>
      <c r="C149" s="3" t="s">
        <v>858</v>
      </c>
      <c r="D149" s="67">
        <f t="shared" si="22"/>
        <v>0</v>
      </c>
      <c r="E149" s="67">
        <f t="shared" si="21"/>
        <v>0</v>
      </c>
      <c r="F149" s="67">
        <f t="shared" si="21"/>
        <v>0</v>
      </c>
      <c r="G149" s="67">
        <f t="shared" si="21"/>
        <v>14.467249727125287</v>
      </c>
      <c r="H149" s="67">
        <f t="shared" si="21"/>
        <v>0</v>
      </c>
      <c r="I149" s="67">
        <f t="shared" si="21"/>
        <v>14.467249727125287</v>
      </c>
      <c r="J149" s="67">
        <f t="shared" si="21"/>
        <v>14.467249727125287</v>
      </c>
      <c r="K149" s="67">
        <f t="shared" si="21"/>
        <v>0</v>
      </c>
    </row>
    <row r="150" spans="2:11" x14ac:dyDescent="0.2">
      <c r="B150" s="20"/>
      <c r="C150" s="21"/>
      <c r="D150" s="67"/>
      <c r="E150" s="67"/>
      <c r="F150" s="67"/>
      <c r="G150" s="67"/>
      <c r="H150" s="67"/>
      <c r="I150" s="67"/>
      <c r="J150" s="67"/>
      <c r="K150" s="67"/>
    </row>
    <row r="151" spans="2:11" ht="15" x14ac:dyDescent="0.25">
      <c r="B151" s="20"/>
      <c r="C151" s="14" t="s">
        <v>966</v>
      </c>
      <c r="D151" s="65">
        <f>IF((D50+D57+D64)=0,0,((D57+D64)/(D50+D57+D64)))*100</f>
        <v>5.5324293993122913</v>
      </c>
      <c r="E151" s="65">
        <f t="shared" ref="E151:K155" si="23">IF((E50+E57+E64)=0,0,((E57+E64)/(E50+E57+E64)))*100</f>
        <v>5.5324293993122913</v>
      </c>
      <c r="F151" s="65">
        <f t="shared" si="23"/>
        <v>0</v>
      </c>
      <c r="G151" s="65">
        <f t="shared" si="23"/>
        <v>0</v>
      </c>
      <c r="H151" s="65">
        <f t="shared" si="23"/>
        <v>0</v>
      </c>
      <c r="I151" s="65">
        <f t="shared" si="23"/>
        <v>0</v>
      </c>
      <c r="J151" s="65">
        <f t="shared" si="23"/>
        <v>5.5324293993122913</v>
      </c>
      <c r="K151" s="65">
        <f t="shared" si="23"/>
        <v>0</v>
      </c>
    </row>
    <row r="152" spans="2:11" x14ac:dyDescent="0.2">
      <c r="B152" s="20"/>
      <c r="C152" s="3" t="s">
        <v>850</v>
      </c>
      <c r="D152" s="67">
        <f t="shared" ref="D152:K155" si="24">IF((D51+D58+D65)=0,0,((D58+D65)/(D51+D58+D65)))*100</f>
        <v>9.712429214673497</v>
      </c>
      <c r="E152" s="67">
        <f t="shared" si="24"/>
        <v>9.712429214673497</v>
      </c>
      <c r="F152" s="67">
        <f t="shared" si="24"/>
        <v>0</v>
      </c>
      <c r="G152" s="67">
        <f t="shared" si="24"/>
        <v>0</v>
      </c>
      <c r="H152" s="67">
        <f t="shared" si="24"/>
        <v>0</v>
      </c>
      <c r="I152" s="67">
        <f t="shared" si="24"/>
        <v>0</v>
      </c>
      <c r="J152" s="67">
        <f t="shared" si="24"/>
        <v>9.712429214673497</v>
      </c>
      <c r="K152" s="67">
        <f t="shared" si="24"/>
        <v>0</v>
      </c>
    </row>
    <row r="153" spans="2:11" x14ac:dyDescent="0.2">
      <c r="B153" s="20"/>
      <c r="C153" s="3" t="s">
        <v>852</v>
      </c>
      <c r="D153" s="67">
        <f t="shared" si="24"/>
        <v>7.7272938951570111</v>
      </c>
      <c r="E153" s="67">
        <f t="shared" si="23"/>
        <v>7.7272938951570111</v>
      </c>
      <c r="F153" s="67">
        <f t="shared" si="23"/>
        <v>0</v>
      </c>
      <c r="G153" s="67">
        <f t="shared" si="23"/>
        <v>0</v>
      </c>
      <c r="H153" s="67">
        <f t="shared" si="23"/>
        <v>0</v>
      </c>
      <c r="I153" s="67">
        <f t="shared" si="23"/>
        <v>0</v>
      </c>
      <c r="J153" s="67">
        <f t="shared" si="23"/>
        <v>7.7272938951570111</v>
      </c>
      <c r="K153" s="67">
        <f t="shared" si="23"/>
        <v>0</v>
      </c>
    </row>
    <row r="154" spans="2:11" x14ac:dyDescent="0.2">
      <c r="B154" s="20"/>
      <c r="C154" s="3" t="s">
        <v>854</v>
      </c>
      <c r="D154" s="67">
        <f t="shared" si="24"/>
        <v>7.8019192725003776</v>
      </c>
      <c r="E154" s="67">
        <f t="shared" si="23"/>
        <v>7.8019192725003776</v>
      </c>
      <c r="F154" s="67">
        <f t="shared" si="23"/>
        <v>0</v>
      </c>
      <c r="G154" s="67">
        <f t="shared" si="23"/>
        <v>0</v>
      </c>
      <c r="H154" s="67">
        <f t="shared" si="23"/>
        <v>0</v>
      </c>
      <c r="I154" s="67">
        <f t="shared" si="23"/>
        <v>0</v>
      </c>
      <c r="J154" s="67">
        <f t="shared" si="23"/>
        <v>7.8019192725003776</v>
      </c>
      <c r="K154" s="67">
        <f t="shared" si="23"/>
        <v>0</v>
      </c>
    </row>
    <row r="155" spans="2:11" x14ac:dyDescent="0.2">
      <c r="B155" s="20"/>
      <c r="C155" s="3" t="s">
        <v>856</v>
      </c>
      <c r="D155" s="67">
        <f t="shared" si="24"/>
        <v>5.4748675799755109</v>
      </c>
      <c r="E155" s="67">
        <f t="shared" si="23"/>
        <v>5.4748675799755109</v>
      </c>
      <c r="F155" s="67">
        <f t="shared" si="23"/>
        <v>0</v>
      </c>
      <c r="G155" s="67">
        <f t="shared" si="23"/>
        <v>0</v>
      </c>
      <c r="H155" s="67">
        <f t="shared" si="23"/>
        <v>0</v>
      </c>
      <c r="I155" s="67">
        <f t="shared" si="23"/>
        <v>0</v>
      </c>
      <c r="J155" s="67">
        <f t="shared" si="23"/>
        <v>5.4748675799755109</v>
      </c>
      <c r="K155" s="67">
        <f t="shared" si="23"/>
        <v>0</v>
      </c>
    </row>
    <row r="156" spans="2:11" x14ac:dyDescent="0.2">
      <c r="B156" s="20"/>
      <c r="C156" s="3" t="s">
        <v>858</v>
      </c>
      <c r="D156" s="67">
        <f>IF((D55+D62+D69+D70)=0,0,((D62+D69+D70)/(D55+D62+D69+D70)))*100</f>
        <v>5.2128671391449561</v>
      </c>
      <c r="E156" s="67">
        <f t="shared" ref="E156:K156" si="25">IF((E55+E62+E69+E70)=0,0,((E62+E69+E70)/(E55+E62+E69+E70)))*100</f>
        <v>5.2128671391449561</v>
      </c>
      <c r="F156" s="67">
        <f t="shared" si="25"/>
        <v>0</v>
      </c>
      <c r="G156" s="67">
        <f t="shared" si="25"/>
        <v>0</v>
      </c>
      <c r="H156" s="67">
        <f t="shared" si="25"/>
        <v>0</v>
      </c>
      <c r="I156" s="67">
        <f t="shared" si="25"/>
        <v>0</v>
      </c>
      <c r="J156" s="67">
        <f t="shared" si="25"/>
        <v>5.2128671391449561</v>
      </c>
      <c r="K156" s="67">
        <f t="shared" si="25"/>
        <v>0</v>
      </c>
    </row>
    <row r="157" spans="2:11" x14ac:dyDescent="0.2">
      <c r="B157" s="20"/>
      <c r="C157" s="21"/>
      <c r="D157" s="67"/>
      <c r="E157" s="67"/>
      <c r="F157" s="67"/>
      <c r="G157" s="67"/>
      <c r="H157" s="67"/>
      <c r="I157" s="67"/>
      <c r="J157" s="67"/>
      <c r="K157" s="67"/>
    </row>
    <row r="158" spans="2:11" ht="15" x14ac:dyDescent="0.25">
      <c r="B158" s="20"/>
      <c r="C158" s="14" t="s">
        <v>967</v>
      </c>
      <c r="D158" s="65">
        <f>IF((D72+D79+D86)=0,0,((D79+D86)/(D72+D79+D86)))*100</f>
        <v>0</v>
      </c>
      <c r="E158" s="65">
        <f t="shared" ref="E158:K163" si="26">IF((E72+E79+E86)=0,0,((E79+E86)/(E72+E79+E86)))*100</f>
        <v>0</v>
      </c>
      <c r="F158" s="65">
        <f t="shared" si="26"/>
        <v>0</v>
      </c>
      <c r="G158" s="65">
        <f t="shared" si="26"/>
        <v>5.9996181404584128</v>
      </c>
      <c r="H158" s="65">
        <f t="shared" si="26"/>
        <v>14.992717665401544</v>
      </c>
      <c r="I158" s="65">
        <f t="shared" si="26"/>
        <v>6.9477599215578323</v>
      </c>
      <c r="J158" s="65">
        <f t="shared" si="26"/>
        <v>6.9477599215578323</v>
      </c>
      <c r="K158" s="65">
        <f t="shared" si="26"/>
        <v>0</v>
      </c>
    </row>
    <row r="159" spans="2:11" x14ac:dyDescent="0.2">
      <c r="B159" s="20"/>
      <c r="C159" s="3" t="s">
        <v>850</v>
      </c>
      <c r="D159" s="67">
        <f t="shared" ref="D159:K163" si="27">IF((D73+D80+D87)=0,0,((D80+D87)/(D73+D80+D87)))*100</f>
        <v>0</v>
      </c>
      <c r="E159" s="67">
        <f t="shared" si="27"/>
        <v>0</v>
      </c>
      <c r="F159" s="67">
        <f t="shared" si="27"/>
        <v>0</v>
      </c>
      <c r="G159" s="67">
        <f t="shared" si="27"/>
        <v>9.7561636616992402</v>
      </c>
      <c r="H159" s="67">
        <f t="shared" si="27"/>
        <v>28.269162092853751</v>
      </c>
      <c r="I159" s="67">
        <f t="shared" si="27"/>
        <v>11.563413925446078</v>
      </c>
      <c r="J159" s="67">
        <f t="shared" si="27"/>
        <v>11.563413925446078</v>
      </c>
      <c r="K159" s="67">
        <f t="shared" si="27"/>
        <v>0</v>
      </c>
    </row>
    <row r="160" spans="2:11" x14ac:dyDescent="0.2">
      <c r="B160" s="20"/>
      <c r="C160" s="3" t="s">
        <v>852</v>
      </c>
      <c r="D160" s="67">
        <f t="shared" si="27"/>
        <v>0</v>
      </c>
      <c r="E160" s="67">
        <f t="shared" si="26"/>
        <v>0</v>
      </c>
      <c r="F160" s="67">
        <f t="shared" si="26"/>
        <v>0</v>
      </c>
      <c r="G160" s="67">
        <f t="shared" si="26"/>
        <v>8.60834736618086</v>
      </c>
      <c r="H160" s="67">
        <f t="shared" si="26"/>
        <v>25.970434373209017</v>
      </c>
      <c r="I160" s="67">
        <f t="shared" si="26"/>
        <v>10.258392280383321</v>
      </c>
      <c r="J160" s="67">
        <f t="shared" si="26"/>
        <v>10.258392280383321</v>
      </c>
      <c r="K160" s="67">
        <f t="shared" si="26"/>
        <v>0</v>
      </c>
    </row>
    <row r="161" spans="2:11" x14ac:dyDescent="0.2">
      <c r="B161" s="20"/>
      <c r="C161" s="3" t="s">
        <v>854</v>
      </c>
      <c r="D161" s="67">
        <f t="shared" si="27"/>
        <v>0</v>
      </c>
      <c r="E161" s="67">
        <f t="shared" si="26"/>
        <v>0</v>
      </c>
      <c r="F161" s="67">
        <f t="shared" si="26"/>
        <v>0</v>
      </c>
      <c r="G161" s="67">
        <f t="shared" si="26"/>
        <v>6.3926800400013386</v>
      </c>
      <c r="H161" s="67">
        <f t="shared" si="26"/>
        <v>17.347714097718477</v>
      </c>
      <c r="I161" s="67">
        <f t="shared" si="26"/>
        <v>7.3646797047458872</v>
      </c>
      <c r="J161" s="67">
        <f t="shared" si="26"/>
        <v>7.3646797047458872</v>
      </c>
      <c r="K161" s="67">
        <f t="shared" si="26"/>
        <v>0</v>
      </c>
    </row>
    <row r="162" spans="2:11" x14ac:dyDescent="0.2">
      <c r="B162" s="20"/>
      <c r="C162" s="3" t="s">
        <v>856</v>
      </c>
      <c r="D162" s="67">
        <f t="shared" si="27"/>
        <v>0</v>
      </c>
      <c r="E162" s="67">
        <f t="shared" si="26"/>
        <v>0</v>
      </c>
      <c r="F162" s="67">
        <f t="shared" si="26"/>
        <v>0</v>
      </c>
      <c r="G162" s="67">
        <f t="shared" si="26"/>
        <v>6.134276784051619</v>
      </c>
      <c r="H162" s="67">
        <f t="shared" si="26"/>
        <v>14.12345073882009</v>
      </c>
      <c r="I162" s="67">
        <f t="shared" si="26"/>
        <v>6.9294351856652652</v>
      </c>
      <c r="J162" s="67">
        <f t="shared" si="26"/>
        <v>6.9294351856652652</v>
      </c>
      <c r="K162" s="67">
        <f t="shared" si="26"/>
        <v>0</v>
      </c>
    </row>
    <row r="163" spans="2:11" x14ac:dyDescent="0.2">
      <c r="B163" s="20"/>
      <c r="C163" s="3" t="s">
        <v>858</v>
      </c>
      <c r="D163" s="67">
        <f t="shared" si="27"/>
        <v>0</v>
      </c>
      <c r="E163" s="67">
        <f t="shared" si="26"/>
        <v>0</v>
      </c>
      <c r="F163" s="67">
        <f t="shared" si="26"/>
        <v>0</v>
      </c>
      <c r="G163" s="67">
        <f t="shared" si="26"/>
        <v>4.8460097244750386</v>
      </c>
      <c r="H163" s="67">
        <f t="shared" si="26"/>
        <v>11.680366718374991</v>
      </c>
      <c r="I163" s="67">
        <f t="shared" si="26"/>
        <v>5.6333260979425699</v>
      </c>
      <c r="J163" s="67">
        <f t="shared" si="26"/>
        <v>5.6333260979425699</v>
      </c>
      <c r="K163" s="67">
        <f t="shared" si="26"/>
        <v>0</v>
      </c>
    </row>
    <row r="164" spans="2:11" x14ac:dyDescent="0.2">
      <c r="B164" s="20"/>
      <c r="C164" s="21"/>
      <c r="D164" s="67"/>
      <c r="E164" s="67"/>
      <c r="F164" s="67"/>
      <c r="G164" s="67"/>
      <c r="H164" s="67"/>
      <c r="I164" s="67"/>
      <c r="J164" s="67"/>
      <c r="K164" s="67"/>
    </row>
    <row r="165" spans="2:11" ht="15" x14ac:dyDescent="0.25">
      <c r="B165" s="20"/>
      <c r="C165" s="14" t="s">
        <v>968</v>
      </c>
      <c r="D165" s="65">
        <f>IF((D93+D100+D107)=0,0,((D100+D107)/(D93+D100+D107)))*100</f>
        <v>0</v>
      </c>
      <c r="E165" s="65">
        <f t="shared" ref="E165:K170" si="28">IF((E93+E100+E107)=0,0,((E100+E107)/(E93+E100+E107)))*100</f>
        <v>0</v>
      </c>
      <c r="F165" s="65">
        <f t="shared" si="28"/>
        <v>0</v>
      </c>
      <c r="G165" s="65">
        <f t="shared" si="28"/>
        <v>0</v>
      </c>
      <c r="H165" s="65">
        <f t="shared" si="28"/>
        <v>0</v>
      </c>
      <c r="I165" s="65">
        <f t="shared" si="28"/>
        <v>0</v>
      </c>
      <c r="J165" s="65">
        <f t="shared" si="28"/>
        <v>0</v>
      </c>
      <c r="K165" s="65">
        <f t="shared" si="28"/>
        <v>10.512622172080533</v>
      </c>
    </row>
    <row r="166" spans="2:11" x14ac:dyDescent="0.2">
      <c r="B166" s="20"/>
      <c r="C166" s="3" t="s">
        <v>850</v>
      </c>
      <c r="D166" s="67">
        <f t="shared" ref="D166:K170" si="29">IF((D94+D101+D108)=0,0,((D101+D108)/(D94+D101+D108)))*100</f>
        <v>0</v>
      </c>
      <c r="E166" s="67">
        <f t="shared" si="29"/>
        <v>0</v>
      </c>
      <c r="F166" s="67">
        <f t="shared" si="29"/>
        <v>0</v>
      </c>
      <c r="G166" s="67">
        <f t="shared" si="29"/>
        <v>0</v>
      </c>
      <c r="H166" s="67">
        <f t="shared" si="29"/>
        <v>0</v>
      </c>
      <c r="I166" s="67">
        <f t="shared" si="29"/>
        <v>0</v>
      </c>
      <c r="J166" s="67">
        <f t="shared" si="29"/>
        <v>0</v>
      </c>
      <c r="K166" s="67">
        <f t="shared" si="29"/>
        <v>11.702888468274956</v>
      </c>
    </row>
    <row r="167" spans="2:11" x14ac:dyDescent="0.2">
      <c r="B167" s="20"/>
      <c r="C167" s="3" t="s">
        <v>852</v>
      </c>
      <c r="D167" s="67">
        <f t="shared" si="29"/>
        <v>0</v>
      </c>
      <c r="E167" s="67">
        <f t="shared" si="28"/>
        <v>0</v>
      </c>
      <c r="F167" s="67">
        <f t="shared" si="28"/>
        <v>0</v>
      </c>
      <c r="G167" s="67">
        <f t="shared" si="28"/>
        <v>0</v>
      </c>
      <c r="H167" s="67">
        <f t="shared" si="28"/>
        <v>0</v>
      </c>
      <c r="I167" s="67">
        <f t="shared" si="28"/>
        <v>0</v>
      </c>
      <c r="J167" s="67">
        <f t="shared" si="28"/>
        <v>0</v>
      </c>
      <c r="K167" s="67">
        <f t="shared" si="28"/>
        <v>21.572901586995201</v>
      </c>
    </row>
    <row r="168" spans="2:11" x14ac:dyDescent="0.2">
      <c r="B168" s="20"/>
      <c r="C168" s="3" t="s">
        <v>854</v>
      </c>
      <c r="D168" s="67">
        <f t="shared" si="29"/>
        <v>0</v>
      </c>
      <c r="E168" s="67">
        <f t="shared" si="28"/>
        <v>0</v>
      </c>
      <c r="F168" s="67">
        <f t="shared" si="28"/>
        <v>0</v>
      </c>
      <c r="G168" s="67">
        <f t="shared" si="28"/>
        <v>0</v>
      </c>
      <c r="H168" s="67">
        <f t="shared" si="28"/>
        <v>0</v>
      </c>
      <c r="I168" s="67">
        <f t="shared" si="28"/>
        <v>0</v>
      </c>
      <c r="J168" s="67">
        <f t="shared" si="28"/>
        <v>0</v>
      </c>
      <c r="K168" s="67">
        <f t="shared" si="28"/>
        <v>6.9765402745016498</v>
      </c>
    </row>
    <row r="169" spans="2:11" x14ac:dyDescent="0.2">
      <c r="B169" s="20"/>
      <c r="C169" s="3" t="s">
        <v>856</v>
      </c>
      <c r="D169" s="67">
        <f t="shared" si="29"/>
        <v>0</v>
      </c>
      <c r="E169" s="67">
        <f t="shared" si="28"/>
        <v>0</v>
      </c>
      <c r="F169" s="67">
        <f t="shared" si="28"/>
        <v>0</v>
      </c>
      <c r="G169" s="67">
        <f t="shared" si="28"/>
        <v>0</v>
      </c>
      <c r="H169" s="67">
        <f t="shared" si="28"/>
        <v>0</v>
      </c>
      <c r="I169" s="67">
        <f t="shared" si="28"/>
        <v>0</v>
      </c>
      <c r="J169" s="67">
        <f t="shared" si="28"/>
        <v>0</v>
      </c>
      <c r="K169" s="67">
        <f t="shared" si="28"/>
        <v>18.581794064237066</v>
      </c>
    </row>
    <row r="170" spans="2:11" x14ac:dyDescent="0.2">
      <c r="B170" s="20"/>
      <c r="C170" s="3" t="s">
        <v>858</v>
      </c>
      <c r="D170" s="67">
        <f t="shared" si="29"/>
        <v>0</v>
      </c>
      <c r="E170" s="67">
        <f t="shared" si="28"/>
        <v>0</v>
      </c>
      <c r="F170" s="67">
        <f t="shared" si="28"/>
        <v>0</v>
      </c>
      <c r="G170" s="67">
        <f t="shared" si="28"/>
        <v>0</v>
      </c>
      <c r="H170" s="67">
        <f t="shared" si="28"/>
        <v>0</v>
      </c>
      <c r="I170" s="67">
        <f t="shared" si="28"/>
        <v>0</v>
      </c>
      <c r="J170" s="67">
        <f t="shared" si="28"/>
        <v>0</v>
      </c>
      <c r="K170" s="67">
        <f t="shared" si="28"/>
        <v>6.9621217450176864</v>
      </c>
    </row>
    <row r="171" spans="2:11" x14ac:dyDescent="0.2">
      <c r="B171" s="20"/>
      <c r="C171" s="21"/>
      <c r="D171" s="67"/>
      <c r="E171" s="67"/>
      <c r="F171" s="67"/>
      <c r="G171" s="67"/>
      <c r="H171" s="67"/>
      <c r="I171" s="67"/>
      <c r="J171" s="67"/>
      <c r="K171" s="67"/>
    </row>
    <row r="172" spans="2:11" ht="15" x14ac:dyDescent="0.25">
      <c r="B172" s="20"/>
      <c r="C172" s="14" t="s">
        <v>969</v>
      </c>
      <c r="D172" s="65">
        <f>IF((D114+D121+D128)=0,0,((D121+D128)/(D114+D121+D128)))*100</f>
        <v>0</v>
      </c>
      <c r="E172" s="65">
        <f t="shared" ref="E172:K177" si="30">IF((E114+E121+E128)=0,0,((E121+E128)/(E114+E121+E128)))*100</f>
        <v>0</v>
      </c>
      <c r="F172" s="65">
        <f t="shared" si="30"/>
        <v>2.2224091664018432E-2</v>
      </c>
      <c r="G172" s="65">
        <f t="shared" si="30"/>
        <v>0</v>
      </c>
      <c r="H172" s="65">
        <f t="shared" si="30"/>
        <v>0</v>
      </c>
      <c r="I172" s="65">
        <f t="shared" si="30"/>
        <v>2.2224091664018432E-2</v>
      </c>
      <c r="J172" s="65">
        <f t="shared" si="30"/>
        <v>2.2224091664018432E-2</v>
      </c>
      <c r="K172" s="65">
        <f t="shared" si="30"/>
        <v>0</v>
      </c>
    </row>
    <row r="173" spans="2:11" x14ac:dyDescent="0.2">
      <c r="B173" s="20"/>
      <c r="C173" s="3" t="s">
        <v>850</v>
      </c>
      <c r="D173" s="67">
        <f t="shared" ref="D173:K177" si="31">IF((D115+D122+D129)=0,0,((D122+D129)/(D115+D122+D129)))*100</f>
        <v>0</v>
      </c>
      <c r="E173" s="67">
        <f t="shared" si="31"/>
        <v>0</v>
      </c>
      <c r="F173" s="67">
        <f t="shared" si="31"/>
        <v>0.16341576926397766</v>
      </c>
      <c r="G173" s="67">
        <f t="shared" si="31"/>
        <v>0</v>
      </c>
      <c r="H173" s="67">
        <f t="shared" si="31"/>
        <v>0</v>
      </c>
      <c r="I173" s="67">
        <f t="shared" si="31"/>
        <v>0.16341576926397766</v>
      </c>
      <c r="J173" s="67">
        <f t="shared" si="31"/>
        <v>0.16341576926397766</v>
      </c>
      <c r="K173" s="67">
        <f t="shared" si="31"/>
        <v>0</v>
      </c>
    </row>
    <row r="174" spans="2:11" x14ac:dyDescent="0.2">
      <c r="B174" s="20"/>
      <c r="C174" s="3" t="s">
        <v>852</v>
      </c>
      <c r="D174" s="67">
        <f t="shared" si="31"/>
        <v>0</v>
      </c>
      <c r="E174" s="67">
        <f t="shared" si="30"/>
        <v>0</v>
      </c>
      <c r="F174" s="67">
        <f t="shared" si="30"/>
        <v>0.12454918125704396</v>
      </c>
      <c r="G174" s="67">
        <f t="shared" si="30"/>
        <v>0</v>
      </c>
      <c r="H174" s="67">
        <f t="shared" si="30"/>
        <v>0</v>
      </c>
      <c r="I174" s="67">
        <f t="shared" si="30"/>
        <v>0.12454918125704396</v>
      </c>
      <c r="J174" s="67">
        <f t="shared" si="30"/>
        <v>0.12454918125704396</v>
      </c>
      <c r="K174" s="67">
        <f t="shared" si="30"/>
        <v>0</v>
      </c>
    </row>
    <row r="175" spans="2:11" x14ac:dyDescent="0.2">
      <c r="B175" s="20"/>
      <c r="C175" s="3" t="s">
        <v>854</v>
      </c>
      <c r="D175" s="67">
        <f t="shared" si="31"/>
        <v>0</v>
      </c>
      <c r="E175" s="67">
        <f t="shared" si="30"/>
        <v>0</v>
      </c>
      <c r="F175" s="67">
        <f t="shared" si="30"/>
        <v>8.7589565123764312E-2</v>
      </c>
      <c r="G175" s="67">
        <f t="shared" si="30"/>
        <v>0</v>
      </c>
      <c r="H175" s="67">
        <f t="shared" si="30"/>
        <v>0</v>
      </c>
      <c r="I175" s="67">
        <f t="shared" si="30"/>
        <v>8.7589565123764312E-2</v>
      </c>
      <c r="J175" s="67">
        <f t="shared" si="30"/>
        <v>8.7589565123764312E-2</v>
      </c>
      <c r="K175" s="67">
        <f t="shared" si="30"/>
        <v>0</v>
      </c>
    </row>
    <row r="176" spans="2:11" x14ac:dyDescent="0.2">
      <c r="B176" s="20"/>
      <c r="C176" s="3" t="s">
        <v>856</v>
      </c>
      <c r="D176" s="67">
        <f t="shared" si="31"/>
        <v>0</v>
      </c>
      <c r="E176" s="67">
        <f t="shared" si="30"/>
        <v>0</v>
      </c>
      <c r="F176" s="67">
        <f t="shared" si="30"/>
        <v>5.3589319960880157E-2</v>
      </c>
      <c r="G176" s="67">
        <f t="shared" si="30"/>
        <v>0</v>
      </c>
      <c r="H176" s="67">
        <f t="shared" si="30"/>
        <v>0</v>
      </c>
      <c r="I176" s="67">
        <f t="shared" si="30"/>
        <v>5.3589319960880157E-2</v>
      </c>
      <c r="J176" s="67">
        <f t="shared" si="30"/>
        <v>5.3589319960880157E-2</v>
      </c>
      <c r="K176" s="67">
        <f t="shared" si="30"/>
        <v>0</v>
      </c>
    </row>
    <row r="177" spans="2:11" x14ac:dyDescent="0.2">
      <c r="B177" s="20"/>
      <c r="C177" s="3" t="s">
        <v>858</v>
      </c>
      <c r="D177" s="67">
        <f t="shared" si="31"/>
        <v>0</v>
      </c>
      <c r="E177" s="67">
        <f t="shared" si="30"/>
        <v>0</v>
      </c>
      <c r="F177" s="67">
        <f t="shared" si="30"/>
        <v>0</v>
      </c>
      <c r="G177" s="67">
        <f t="shared" si="30"/>
        <v>0</v>
      </c>
      <c r="H177" s="67">
        <f t="shared" si="30"/>
        <v>0</v>
      </c>
      <c r="I177" s="67">
        <f t="shared" si="30"/>
        <v>0</v>
      </c>
      <c r="J177" s="67">
        <f t="shared" si="30"/>
        <v>0</v>
      </c>
      <c r="K177" s="67">
        <f t="shared" si="30"/>
        <v>0</v>
      </c>
    </row>
    <row r="178" spans="2:11" x14ac:dyDescent="0.2">
      <c r="B178" s="25"/>
      <c r="C178" s="26"/>
      <c r="D178" s="26"/>
      <c r="E178" s="26"/>
      <c r="F178" s="26"/>
      <c r="G178" s="26"/>
      <c r="H178" s="26"/>
      <c r="I178" s="26"/>
      <c r="J178" s="26"/>
      <c r="K178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AO106"/>
  <sheetViews>
    <sheetView showGridLines="0" zoomScale="75" zoomScaleNormal="75" workbookViewId="0">
      <pane xSplit="3" ySplit="7" topLeftCell="H63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4.25" x14ac:dyDescent="0.2"/>
  <cols>
    <col min="1" max="1" width="4" style="59" customWidth="1"/>
    <col min="2" max="2" width="11.42578125" style="11"/>
    <col min="3" max="3" width="56.5703125" style="11" customWidth="1"/>
    <col min="4" max="11" width="22.28515625" style="11" customWidth="1"/>
    <col min="12" max="16384" width="11.42578125" style="11"/>
  </cols>
  <sheetData>
    <row r="2" spans="1:41" s="2" customFormat="1" ht="15" x14ac:dyDescent="0.25">
      <c r="A2" s="51"/>
      <c r="B2" s="52" t="s">
        <v>655</v>
      </c>
      <c r="C2" s="53"/>
      <c r="G2" s="54"/>
      <c r="H2" s="54"/>
      <c r="L2" s="3"/>
      <c r="M2" s="3"/>
      <c r="N2" s="3"/>
      <c r="O2" s="3"/>
    </row>
    <row r="3" spans="1:41" s="2" customFormat="1" ht="15" x14ac:dyDescent="0.25">
      <c r="A3" s="51"/>
      <c r="B3" s="52" t="str">
        <f>BALANCE!B3</f>
        <v>SISTEMA DE BANCA PUBLICA</v>
      </c>
      <c r="C3" s="53"/>
      <c r="F3" s="55"/>
      <c r="G3" s="54"/>
      <c r="H3" s="54"/>
      <c r="K3" s="55"/>
      <c r="L3" s="3"/>
      <c r="M3" s="3"/>
      <c r="N3" s="3"/>
      <c r="O3" s="3"/>
    </row>
    <row r="4" spans="1:41" s="2" customFormat="1" ht="15" x14ac:dyDescent="0.25">
      <c r="A4" s="51"/>
      <c r="B4" s="56" t="s">
        <v>656</v>
      </c>
      <c r="C4" s="56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 x14ac:dyDescent="0.25">
      <c r="A5" s="51"/>
      <c r="B5" s="52" t="s">
        <v>2</v>
      </c>
      <c r="C5" s="53"/>
      <c r="D5" s="2">
        <v>1</v>
      </c>
      <c r="E5" s="2">
        <v>2</v>
      </c>
      <c r="F5" s="2">
        <v>3</v>
      </c>
      <c r="G5" s="2">
        <v>4</v>
      </c>
      <c r="H5" s="2">
        <v>5</v>
      </c>
      <c r="I5" s="2">
        <v>6</v>
      </c>
      <c r="J5" s="2">
        <v>7</v>
      </c>
      <c r="K5" s="2">
        <v>9</v>
      </c>
      <c r="L5" s="3"/>
      <c r="M5" s="3"/>
      <c r="N5" s="3"/>
      <c r="O5" s="3"/>
    </row>
    <row r="6" spans="1:41" s="2" customFormat="1" ht="15" x14ac:dyDescent="0.25">
      <c r="A6" s="51"/>
      <c r="B6" s="52"/>
      <c r="C6" s="53"/>
      <c r="G6" s="54"/>
      <c r="H6" s="54"/>
      <c r="L6" s="3"/>
      <c r="M6" s="3"/>
      <c r="N6" s="3"/>
      <c r="O6" s="3"/>
    </row>
    <row r="7" spans="1:41" s="19" customFormat="1" ht="45" x14ac:dyDescent="0.25">
      <c r="A7" s="57">
        <v>1</v>
      </c>
      <c r="B7" s="16" t="s">
        <v>3</v>
      </c>
      <c r="C7" s="17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58" t="s">
        <v>12</v>
      </c>
    </row>
    <row r="8" spans="1:41" ht="15" x14ac:dyDescent="0.2">
      <c r="A8" s="59">
        <v>2</v>
      </c>
      <c r="B8" s="60"/>
      <c r="C8" s="61"/>
      <c r="D8" s="62"/>
      <c r="E8" s="62"/>
      <c r="F8" s="62"/>
      <c r="G8" s="62"/>
      <c r="H8" s="62"/>
      <c r="I8" s="62"/>
      <c r="J8" s="62"/>
      <c r="K8" s="63"/>
    </row>
    <row r="9" spans="1:41" s="36" customFormat="1" ht="15" x14ac:dyDescent="0.25">
      <c r="A9" s="64">
        <v>3</v>
      </c>
      <c r="B9" s="23"/>
      <c r="C9" s="24" t="s">
        <v>657</v>
      </c>
      <c r="D9" s="65">
        <v>17362.654569999999</v>
      </c>
      <c r="E9" s="65">
        <f>+D9</f>
        <v>17362.654569999999</v>
      </c>
      <c r="F9" s="65">
        <v>58698.101289999999</v>
      </c>
      <c r="G9" s="65">
        <v>94049.363310000001</v>
      </c>
      <c r="H9" s="65">
        <v>168188.19795999999</v>
      </c>
      <c r="I9" s="65">
        <f>+F9+G9+H9</f>
        <v>320935.66255999997</v>
      </c>
      <c r="J9" s="65">
        <f>+E9+I9</f>
        <v>338298.31712999998</v>
      </c>
      <c r="K9" s="66">
        <v>13234.160910000001</v>
      </c>
    </row>
    <row r="10" spans="1:41" x14ac:dyDescent="0.2">
      <c r="B10" s="20"/>
      <c r="C10" s="21"/>
      <c r="D10" s="67"/>
      <c r="E10" s="67"/>
      <c r="F10" s="67"/>
      <c r="G10" s="67"/>
      <c r="H10" s="67"/>
      <c r="I10" s="67"/>
      <c r="J10" s="67"/>
      <c r="K10" s="68"/>
    </row>
    <row r="11" spans="1:41" s="36" customFormat="1" ht="15" x14ac:dyDescent="0.25">
      <c r="A11" s="64">
        <v>5</v>
      </c>
      <c r="B11" s="23">
        <v>51</v>
      </c>
      <c r="C11" s="24" t="s">
        <v>658</v>
      </c>
      <c r="D11" s="65">
        <v>9888.1526699999995</v>
      </c>
      <c r="E11" s="65">
        <f t="shared" ref="E11:E74" si="0">+D11</f>
        <v>9888.1526699999995</v>
      </c>
      <c r="F11" s="65">
        <v>56229.772539999998</v>
      </c>
      <c r="G11" s="65">
        <v>70272.735910000003</v>
      </c>
      <c r="H11" s="65">
        <v>92006.173120000007</v>
      </c>
      <c r="I11" s="65">
        <f t="shared" ref="I11:I74" si="1">+F11+G11+H11</f>
        <v>218508.68157000002</v>
      </c>
      <c r="J11" s="65">
        <f t="shared" ref="J11:J74" si="2">+E11+I11</f>
        <v>228396.83424000003</v>
      </c>
      <c r="K11" s="66">
        <v>12465.036550000001</v>
      </c>
    </row>
    <row r="12" spans="1:41" x14ac:dyDescent="0.2">
      <c r="A12" s="59">
        <v>6</v>
      </c>
      <c r="B12" s="20">
        <v>5101</v>
      </c>
      <c r="C12" s="21" t="s">
        <v>659</v>
      </c>
      <c r="D12" s="67">
        <v>7.1239999999999998E-2</v>
      </c>
      <c r="E12" s="67">
        <f t="shared" si="0"/>
        <v>7.1239999999999998E-2</v>
      </c>
      <c r="F12" s="67">
        <v>9.7300000000000008E-3</v>
      </c>
      <c r="G12" s="67">
        <v>0</v>
      </c>
      <c r="H12" s="67">
        <v>474.15260000000001</v>
      </c>
      <c r="I12" s="67">
        <f t="shared" si="1"/>
        <v>474.16233</v>
      </c>
      <c r="J12" s="67">
        <f t="shared" si="2"/>
        <v>474.23356999999999</v>
      </c>
      <c r="K12" s="68">
        <v>1135.49243</v>
      </c>
    </row>
    <row r="13" spans="1:41" x14ac:dyDescent="0.2">
      <c r="A13" s="59">
        <v>7</v>
      </c>
      <c r="B13" s="20">
        <v>5102</v>
      </c>
      <c r="C13" s="21" t="s">
        <v>660</v>
      </c>
      <c r="D13" s="67">
        <v>0</v>
      </c>
      <c r="E13" s="67">
        <f t="shared" si="0"/>
        <v>0</v>
      </c>
      <c r="F13" s="67">
        <v>0</v>
      </c>
      <c r="G13" s="67">
        <v>0</v>
      </c>
      <c r="H13" s="67">
        <v>0</v>
      </c>
      <c r="I13" s="67">
        <f t="shared" si="1"/>
        <v>0</v>
      </c>
      <c r="J13" s="67">
        <f t="shared" si="2"/>
        <v>0</v>
      </c>
      <c r="K13" s="68">
        <v>0</v>
      </c>
    </row>
    <row r="14" spans="1:41" x14ac:dyDescent="0.2">
      <c r="A14" s="59">
        <v>8</v>
      </c>
      <c r="B14" s="20">
        <v>5103</v>
      </c>
      <c r="C14" s="21" t="s">
        <v>661</v>
      </c>
      <c r="D14" s="67">
        <v>1350.5903599999999</v>
      </c>
      <c r="E14" s="67">
        <f t="shared" si="0"/>
        <v>1350.5903599999999</v>
      </c>
      <c r="F14" s="67">
        <v>3036.3958400000001</v>
      </c>
      <c r="G14" s="67">
        <v>4010.4974499999998</v>
      </c>
      <c r="H14" s="67">
        <v>15499.95256</v>
      </c>
      <c r="I14" s="67">
        <f t="shared" si="1"/>
        <v>22546.845849999998</v>
      </c>
      <c r="J14" s="67">
        <f t="shared" si="2"/>
        <v>23897.436209999996</v>
      </c>
      <c r="K14" s="68">
        <v>0</v>
      </c>
    </row>
    <row r="15" spans="1:41" x14ac:dyDescent="0.2">
      <c r="A15" s="59">
        <v>9</v>
      </c>
      <c r="B15" s="20">
        <v>5104</v>
      </c>
      <c r="C15" s="21" t="s">
        <v>662</v>
      </c>
      <c r="D15" s="67">
        <v>8240.4868200000001</v>
      </c>
      <c r="E15" s="67">
        <f t="shared" si="0"/>
        <v>8240.4868200000001</v>
      </c>
      <c r="F15" s="67">
        <v>53191.33625</v>
      </c>
      <c r="G15" s="67">
        <v>66262.218110000002</v>
      </c>
      <c r="H15" s="67">
        <v>72434.785140000007</v>
      </c>
      <c r="I15" s="67">
        <f t="shared" si="1"/>
        <v>191888.3395</v>
      </c>
      <c r="J15" s="67">
        <f t="shared" si="2"/>
        <v>200128.82631999999</v>
      </c>
      <c r="K15" s="68">
        <v>11329.54412</v>
      </c>
    </row>
    <row r="16" spans="1:41" x14ac:dyDescent="0.2">
      <c r="A16" s="59">
        <v>10</v>
      </c>
      <c r="B16" s="20">
        <v>510405</v>
      </c>
      <c r="C16" s="21" t="s">
        <v>663</v>
      </c>
      <c r="D16" s="67">
        <v>6559.1695200000004</v>
      </c>
      <c r="E16" s="67">
        <f t="shared" si="0"/>
        <v>6559.1695200000004</v>
      </c>
      <c r="F16" s="67"/>
      <c r="G16" s="67">
        <v>41872.349020000001</v>
      </c>
      <c r="H16" s="67">
        <v>58997.443050000002</v>
      </c>
      <c r="I16" s="67">
        <f t="shared" si="1"/>
        <v>100869.79207</v>
      </c>
      <c r="J16" s="67">
        <f t="shared" si="2"/>
        <v>107428.96158999999</v>
      </c>
      <c r="K16" s="68"/>
    </row>
    <row r="17" spans="1:11" x14ac:dyDescent="0.2">
      <c r="A17" s="59">
        <v>11</v>
      </c>
      <c r="B17" s="20">
        <v>510410</v>
      </c>
      <c r="C17" s="21" t="s">
        <v>664</v>
      </c>
      <c r="D17" s="67">
        <v>0</v>
      </c>
      <c r="E17" s="67">
        <f t="shared" si="0"/>
        <v>0</v>
      </c>
      <c r="F17" s="67">
        <v>0</v>
      </c>
      <c r="G17" s="67">
        <v>4383.5789800000002</v>
      </c>
      <c r="H17" s="67">
        <v>0</v>
      </c>
      <c r="I17" s="67">
        <f t="shared" si="1"/>
        <v>4383.5789800000002</v>
      </c>
      <c r="J17" s="67">
        <f t="shared" si="2"/>
        <v>4383.5789800000002</v>
      </c>
      <c r="K17" s="68"/>
    </row>
    <row r="18" spans="1:11" x14ac:dyDescent="0.2">
      <c r="A18" s="59">
        <v>12</v>
      </c>
      <c r="B18" s="20">
        <v>510415</v>
      </c>
      <c r="C18" s="21" t="s">
        <v>665</v>
      </c>
      <c r="D18" s="67">
        <v>1037.98461</v>
      </c>
      <c r="E18" s="67">
        <f t="shared" si="0"/>
        <v>1037.98461</v>
      </c>
      <c r="F18" s="67"/>
      <c r="G18" s="67"/>
      <c r="H18" s="67"/>
      <c r="I18" s="67">
        <f t="shared" si="1"/>
        <v>0</v>
      </c>
      <c r="J18" s="67">
        <f t="shared" si="2"/>
        <v>1037.98461</v>
      </c>
      <c r="K18" s="68"/>
    </row>
    <row r="19" spans="1:11" x14ac:dyDescent="0.2">
      <c r="A19" s="59">
        <v>13</v>
      </c>
      <c r="B19" s="20">
        <v>510420</v>
      </c>
      <c r="C19" s="21" t="s">
        <v>666</v>
      </c>
      <c r="D19" s="67"/>
      <c r="E19" s="67">
        <f t="shared" si="0"/>
        <v>0</v>
      </c>
      <c r="F19" s="67"/>
      <c r="G19" s="67">
        <v>14366.85137</v>
      </c>
      <c r="H19" s="67">
        <v>2159.59717</v>
      </c>
      <c r="I19" s="67">
        <f t="shared" si="1"/>
        <v>16526.448540000001</v>
      </c>
      <c r="J19" s="67">
        <f t="shared" si="2"/>
        <v>16526.448540000001</v>
      </c>
      <c r="K19" s="68"/>
    </row>
    <row r="20" spans="1:11" x14ac:dyDescent="0.2">
      <c r="A20" s="59">
        <v>14</v>
      </c>
      <c r="B20" s="20">
        <v>510421</v>
      </c>
      <c r="C20" s="21" t="s">
        <v>667</v>
      </c>
      <c r="D20" s="67"/>
      <c r="E20" s="67">
        <f t="shared" si="0"/>
        <v>0</v>
      </c>
      <c r="F20" s="67"/>
      <c r="G20" s="67"/>
      <c r="H20" s="67"/>
      <c r="I20" s="67">
        <f t="shared" si="1"/>
        <v>0</v>
      </c>
      <c r="J20" s="67">
        <f t="shared" si="2"/>
        <v>0</v>
      </c>
      <c r="K20" s="68">
        <v>10713.329309999999</v>
      </c>
    </row>
    <row r="21" spans="1:11" x14ac:dyDescent="0.2">
      <c r="A21" s="59">
        <v>15</v>
      </c>
      <c r="B21" s="20">
        <v>510425</v>
      </c>
      <c r="C21" s="21" t="s">
        <v>668</v>
      </c>
      <c r="D21" s="67"/>
      <c r="E21" s="67">
        <f t="shared" si="0"/>
        <v>0</v>
      </c>
      <c r="F21" s="67">
        <v>53177.842060000003</v>
      </c>
      <c r="G21" s="67"/>
      <c r="H21" s="67"/>
      <c r="I21" s="67">
        <f t="shared" si="1"/>
        <v>53177.842060000003</v>
      </c>
      <c r="J21" s="67">
        <f t="shared" si="2"/>
        <v>53177.842060000003</v>
      </c>
      <c r="K21" s="68"/>
    </row>
    <row r="22" spans="1:11" x14ac:dyDescent="0.2">
      <c r="A22" s="59">
        <v>16</v>
      </c>
      <c r="B22" s="20">
        <v>510430</v>
      </c>
      <c r="C22" s="21" t="s">
        <v>669</v>
      </c>
      <c r="D22" s="67">
        <v>6.5775800000000002</v>
      </c>
      <c r="E22" s="67">
        <f t="shared" si="0"/>
        <v>6.5775800000000002</v>
      </c>
      <c r="F22" s="67">
        <v>0</v>
      </c>
      <c r="G22" s="67">
        <v>0</v>
      </c>
      <c r="H22" s="67">
        <v>0</v>
      </c>
      <c r="I22" s="67">
        <f t="shared" si="1"/>
        <v>0</v>
      </c>
      <c r="J22" s="67">
        <f t="shared" si="2"/>
        <v>6.5775800000000002</v>
      </c>
      <c r="K22" s="68">
        <v>0</v>
      </c>
    </row>
    <row r="23" spans="1:11" x14ac:dyDescent="0.2">
      <c r="A23" s="59">
        <v>17</v>
      </c>
      <c r="B23" s="20">
        <v>510435</v>
      </c>
      <c r="C23" s="21" t="s">
        <v>670</v>
      </c>
      <c r="D23" s="67">
        <v>272.52188000000001</v>
      </c>
      <c r="E23" s="67">
        <f t="shared" si="0"/>
        <v>272.52188000000001</v>
      </c>
      <c r="F23" s="67">
        <v>0</v>
      </c>
      <c r="G23" s="67">
        <v>1558.40004</v>
      </c>
      <c r="H23" s="67">
        <v>715.87869999999998</v>
      </c>
      <c r="I23" s="67">
        <f t="shared" si="1"/>
        <v>2274.2787399999997</v>
      </c>
      <c r="J23" s="67">
        <f t="shared" si="2"/>
        <v>2546.80062</v>
      </c>
      <c r="K23" s="68">
        <v>0</v>
      </c>
    </row>
    <row r="24" spans="1:11" x14ac:dyDescent="0.2">
      <c r="A24" s="59">
        <v>18</v>
      </c>
      <c r="B24" s="20">
        <v>510450</v>
      </c>
      <c r="C24" s="21" t="s">
        <v>671</v>
      </c>
      <c r="D24" s="67">
        <v>298.64866999999998</v>
      </c>
      <c r="E24" s="67">
        <f t="shared" si="0"/>
        <v>298.64866999999998</v>
      </c>
      <c r="F24" s="67">
        <v>13.49419</v>
      </c>
      <c r="G24" s="67">
        <v>4081.0387000000001</v>
      </c>
      <c r="H24" s="67">
        <v>10561.86622</v>
      </c>
      <c r="I24" s="67">
        <f t="shared" si="1"/>
        <v>14656.39911</v>
      </c>
      <c r="J24" s="67">
        <f t="shared" si="2"/>
        <v>14955.047780000001</v>
      </c>
      <c r="K24" s="68">
        <v>616.21481000000006</v>
      </c>
    </row>
    <row r="25" spans="1:11" x14ac:dyDescent="0.2">
      <c r="A25" s="59">
        <v>19</v>
      </c>
      <c r="B25" s="20">
        <v>5190</v>
      </c>
      <c r="C25" s="21" t="s">
        <v>672</v>
      </c>
      <c r="D25" s="67">
        <v>297.00425000000001</v>
      </c>
      <c r="E25" s="67">
        <f t="shared" si="0"/>
        <v>297.00425000000001</v>
      </c>
      <c r="F25" s="67">
        <v>2.0307200000000001</v>
      </c>
      <c r="G25" s="67">
        <v>2.035E-2</v>
      </c>
      <c r="H25" s="67">
        <v>3597.2828199999999</v>
      </c>
      <c r="I25" s="67">
        <f t="shared" si="1"/>
        <v>3599.3338899999999</v>
      </c>
      <c r="J25" s="67">
        <f t="shared" si="2"/>
        <v>3896.3381399999998</v>
      </c>
      <c r="K25" s="68">
        <v>0</v>
      </c>
    </row>
    <row r="26" spans="1:11" s="36" customFormat="1" ht="15" x14ac:dyDescent="0.25">
      <c r="A26" s="64">
        <v>20</v>
      </c>
      <c r="B26" s="23">
        <v>41</v>
      </c>
      <c r="C26" s="24" t="s">
        <v>673</v>
      </c>
      <c r="D26" s="65">
        <v>1396.93381</v>
      </c>
      <c r="E26" s="65">
        <f t="shared" si="0"/>
        <v>1396.93381</v>
      </c>
      <c r="F26" s="65">
        <v>9441.7811199999996</v>
      </c>
      <c r="G26" s="65">
        <v>11619.32159</v>
      </c>
      <c r="H26" s="65">
        <v>30376.206689999999</v>
      </c>
      <c r="I26" s="65">
        <f t="shared" si="1"/>
        <v>51437.309399999998</v>
      </c>
      <c r="J26" s="65">
        <f t="shared" si="2"/>
        <v>52834.243210000001</v>
      </c>
      <c r="K26" s="66">
        <v>0</v>
      </c>
    </row>
    <row r="27" spans="1:11" x14ac:dyDescent="0.2">
      <c r="A27" s="59">
        <v>21</v>
      </c>
      <c r="B27" s="20">
        <v>4101</v>
      </c>
      <c r="C27" s="21" t="s">
        <v>674</v>
      </c>
      <c r="D27" s="67">
        <v>1381.36455</v>
      </c>
      <c r="E27" s="67">
        <f t="shared" si="0"/>
        <v>1381.36455</v>
      </c>
      <c r="F27" s="67">
        <v>9036.2079099999992</v>
      </c>
      <c r="G27" s="67">
        <v>11607.941070000001</v>
      </c>
      <c r="H27" s="67">
        <v>0.50912000000000002</v>
      </c>
      <c r="I27" s="67">
        <f t="shared" si="1"/>
        <v>20644.658099999997</v>
      </c>
      <c r="J27" s="67">
        <f t="shared" si="2"/>
        <v>22026.022649999995</v>
      </c>
      <c r="K27" s="68"/>
    </row>
    <row r="28" spans="1:11" x14ac:dyDescent="0.2">
      <c r="A28" s="59">
        <v>22</v>
      </c>
      <c r="B28" s="20">
        <v>4102</v>
      </c>
      <c r="C28" s="21" t="s">
        <v>660</v>
      </c>
      <c r="D28" s="67">
        <v>0</v>
      </c>
      <c r="E28" s="67">
        <f t="shared" si="0"/>
        <v>0</v>
      </c>
      <c r="F28" s="67">
        <v>0</v>
      </c>
      <c r="G28" s="67">
        <v>0</v>
      </c>
      <c r="H28" s="67">
        <v>0</v>
      </c>
      <c r="I28" s="67">
        <f t="shared" si="1"/>
        <v>0</v>
      </c>
      <c r="J28" s="67">
        <f t="shared" si="2"/>
        <v>0</v>
      </c>
      <c r="K28" s="68"/>
    </row>
    <row r="29" spans="1:11" x14ac:dyDescent="0.2">
      <c r="A29" s="59">
        <v>23</v>
      </c>
      <c r="B29" s="20">
        <v>4103</v>
      </c>
      <c r="C29" s="21" t="s">
        <v>675</v>
      </c>
      <c r="D29" s="67">
        <v>15.56926</v>
      </c>
      <c r="E29" s="67">
        <f t="shared" si="0"/>
        <v>15.56926</v>
      </c>
      <c r="F29" s="67">
        <v>343.67928000000001</v>
      </c>
      <c r="G29" s="67">
        <v>11.380520000000001</v>
      </c>
      <c r="H29" s="67">
        <v>1565.6263799999999</v>
      </c>
      <c r="I29" s="67">
        <f t="shared" si="1"/>
        <v>1920.6861799999999</v>
      </c>
      <c r="J29" s="67">
        <f t="shared" si="2"/>
        <v>1936.2554399999999</v>
      </c>
      <c r="K29" s="68">
        <v>0</v>
      </c>
    </row>
    <row r="30" spans="1:11" x14ac:dyDescent="0.2">
      <c r="A30" s="59">
        <v>24</v>
      </c>
      <c r="B30" s="20">
        <v>4104</v>
      </c>
      <c r="C30" s="21" t="s">
        <v>676</v>
      </c>
      <c r="D30" s="67">
        <v>0</v>
      </c>
      <c r="E30" s="67">
        <f t="shared" si="0"/>
        <v>0</v>
      </c>
      <c r="F30" s="67">
        <v>0</v>
      </c>
      <c r="G30" s="67">
        <v>0</v>
      </c>
      <c r="H30" s="67">
        <v>28810.071189999999</v>
      </c>
      <c r="I30" s="67">
        <f t="shared" si="1"/>
        <v>28810.071189999999</v>
      </c>
      <c r="J30" s="67">
        <f t="shared" si="2"/>
        <v>28810.071189999999</v>
      </c>
      <c r="K30" s="68"/>
    </row>
    <row r="31" spans="1:11" x14ac:dyDescent="0.2">
      <c r="A31" s="59">
        <v>25</v>
      </c>
      <c r="B31" s="20">
        <v>4105</v>
      </c>
      <c r="C31" s="21" t="s">
        <v>677</v>
      </c>
      <c r="D31" s="67">
        <v>0</v>
      </c>
      <c r="E31" s="67">
        <f t="shared" si="0"/>
        <v>0</v>
      </c>
      <c r="F31" s="67">
        <v>61.893929999999997</v>
      </c>
      <c r="G31" s="67">
        <v>0</v>
      </c>
      <c r="H31" s="67">
        <v>0</v>
      </c>
      <c r="I31" s="67">
        <f t="shared" si="1"/>
        <v>61.893929999999997</v>
      </c>
      <c r="J31" s="67">
        <f t="shared" si="2"/>
        <v>61.893929999999997</v>
      </c>
      <c r="K31" s="68">
        <v>0</v>
      </c>
    </row>
    <row r="32" spans="1:11" s="36" customFormat="1" ht="15" x14ac:dyDescent="0.25">
      <c r="A32" s="64">
        <v>26</v>
      </c>
      <c r="B32" s="23"/>
      <c r="C32" s="24" t="s">
        <v>678</v>
      </c>
      <c r="D32" s="65">
        <v>8491.2188600000009</v>
      </c>
      <c r="E32" s="65">
        <f t="shared" si="0"/>
        <v>8491.2188600000009</v>
      </c>
      <c r="F32" s="65">
        <v>46787.991419999998</v>
      </c>
      <c r="G32" s="65">
        <v>58653.414320000003</v>
      </c>
      <c r="H32" s="65">
        <v>61629.96643</v>
      </c>
      <c r="I32" s="65">
        <f t="shared" si="1"/>
        <v>167071.37216999999</v>
      </c>
      <c r="J32" s="65">
        <f t="shared" si="2"/>
        <v>175562.59102999998</v>
      </c>
      <c r="K32" s="66">
        <v>12465.036550000001</v>
      </c>
    </row>
    <row r="33" spans="1:11" x14ac:dyDescent="0.2">
      <c r="B33" s="20"/>
      <c r="C33" s="21"/>
      <c r="D33" s="67"/>
      <c r="E33" s="67"/>
      <c r="F33" s="67"/>
      <c r="G33" s="67"/>
      <c r="H33" s="67"/>
      <c r="I33" s="67"/>
      <c r="J33" s="67"/>
      <c r="K33" s="68"/>
    </row>
    <row r="34" spans="1:11" x14ac:dyDescent="0.2">
      <c r="A34" s="59">
        <v>28</v>
      </c>
      <c r="B34" s="20">
        <v>52</v>
      </c>
      <c r="C34" s="21" t="s">
        <v>679</v>
      </c>
      <c r="D34" s="67">
        <v>150.69238999999999</v>
      </c>
      <c r="E34" s="67">
        <f t="shared" si="0"/>
        <v>150.69238999999999</v>
      </c>
      <c r="F34" s="67">
        <v>1010.01004</v>
      </c>
      <c r="G34" s="67">
        <v>2142.0976799999999</v>
      </c>
      <c r="H34" s="67">
        <v>23.10989</v>
      </c>
      <c r="I34" s="67">
        <f t="shared" si="1"/>
        <v>3175.2176100000001</v>
      </c>
      <c r="J34" s="67">
        <f t="shared" si="2"/>
        <v>3325.9100000000003</v>
      </c>
      <c r="K34" s="68">
        <v>0</v>
      </c>
    </row>
    <row r="35" spans="1:11" x14ac:dyDescent="0.2">
      <c r="A35" s="59">
        <v>29</v>
      </c>
      <c r="B35" s="20">
        <v>5201</v>
      </c>
      <c r="C35" s="21" t="s">
        <v>680</v>
      </c>
      <c r="D35" s="67">
        <v>0</v>
      </c>
      <c r="E35" s="67">
        <f t="shared" si="0"/>
        <v>0</v>
      </c>
      <c r="F35" s="67">
        <v>0</v>
      </c>
      <c r="G35" s="67">
        <v>10.171010000000001</v>
      </c>
      <c r="H35" s="67">
        <v>0</v>
      </c>
      <c r="I35" s="67">
        <f t="shared" si="1"/>
        <v>10.171010000000001</v>
      </c>
      <c r="J35" s="67">
        <f t="shared" si="2"/>
        <v>10.171010000000001</v>
      </c>
      <c r="K35" s="68">
        <v>0</v>
      </c>
    </row>
    <row r="36" spans="1:11" x14ac:dyDescent="0.2">
      <c r="A36" s="59">
        <v>30</v>
      </c>
      <c r="B36" s="20">
        <v>520105</v>
      </c>
      <c r="C36" s="21" t="s">
        <v>663</v>
      </c>
      <c r="D36" s="67">
        <v>0</v>
      </c>
      <c r="E36" s="67">
        <f t="shared" si="0"/>
        <v>0</v>
      </c>
      <c r="F36" s="67">
        <v>0</v>
      </c>
      <c r="G36" s="67">
        <v>1.53301</v>
      </c>
      <c r="H36" s="67">
        <v>0</v>
      </c>
      <c r="I36" s="67">
        <f t="shared" si="1"/>
        <v>1.53301</v>
      </c>
      <c r="J36" s="67">
        <f t="shared" si="2"/>
        <v>1.53301</v>
      </c>
      <c r="K36" s="68"/>
    </row>
    <row r="37" spans="1:11" x14ac:dyDescent="0.2">
      <c r="A37" s="59">
        <v>31</v>
      </c>
      <c r="B37" s="20">
        <v>520110</v>
      </c>
      <c r="C37" s="21" t="s">
        <v>664</v>
      </c>
      <c r="D37" s="67"/>
      <c r="E37" s="67">
        <f t="shared" si="0"/>
        <v>0</v>
      </c>
      <c r="F37" s="67"/>
      <c r="G37" s="67">
        <v>0</v>
      </c>
      <c r="H37" s="67"/>
      <c r="I37" s="67">
        <f t="shared" si="1"/>
        <v>0</v>
      </c>
      <c r="J37" s="67">
        <f t="shared" si="2"/>
        <v>0</v>
      </c>
      <c r="K37" s="68">
        <v>0</v>
      </c>
    </row>
    <row r="38" spans="1:11" x14ac:dyDescent="0.2">
      <c r="A38" s="59">
        <v>32</v>
      </c>
      <c r="B38" s="20">
        <v>520115</v>
      </c>
      <c r="C38" s="21" t="s">
        <v>665</v>
      </c>
      <c r="D38" s="67">
        <v>0</v>
      </c>
      <c r="E38" s="67">
        <f t="shared" si="0"/>
        <v>0</v>
      </c>
      <c r="F38" s="67"/>
      <c r="G38" s="67"/>
      <c r="H38" s="67">
        <v>0</v>
      </c>
      <c r="I38" s="67">
        <f t="shared" si="1"/>
        <v>0</v>
      </c>
      <c r="J38" s="67">
        <f t="shared" si="2"/>
        <v>0</v>
      </c>
      <c r="K38" s="68"/>
    </row>
    <row r="39" spans="1:11" x14ac:dyDescent="0.2">
      <c r="A39" s="59">
        <v>33</v>
      </c>
      <c r="B39" s="20">
        <v>520120</v>
      </c>
      <c r="C39" s="21" t="s">
        <v>666</v>
      </c>
      <c r="D39" s="67"/>
      <c r="E39" s="67">
        <f t="shared" si="0"/>
        <v>0</v>
      </c>
      <c r="F39" s="67"/>
      <c r="G39" s="67">
        <v>0</v>
      </c>
      <c r="H39" s="67">
        <v>0</v>
      </c>
      <c r="I39" s="67">
        <f t="shared" si="1"/>
        <v>0</v>
      </c>
      <c r="J39" s="67">
        <f t="shared" si="2"/>
        <v>0</v>
      </c>
      <c r="K39" s="68"/>
    </row>
    <row r="40" spans="1:11" x14ac:dyDescent="0.2">
      <c r="A40" s="59">
        <v>34</v>
      </c>
      <c r="B40" s="20">
        <v>520125</v>
      </c>
      <c r="C40" s="21" t="s">
        <v>670</v>
      </c>
      <c r="D40" s="67">
        <v>0</v>
      </c>
      <c r="E40" s="67">
        <f t="shared" si="0"/>
        <v>0</v>
      </c>
      <c r="F40" s="67">
        <v>0</v>
      </c>
      <c r="G40" s="67">
        <v>8.6379999999999999</v>
      </c>
      <c r="H40" s="67">
        <v>0</v>
      </c>
      <c r="I40" s="67">
        <f t="shared" si="1"/>
        <v>8.6379999999999999</v>
      </c>
      <c r="J40" s="67">
        <f t="shared" si="2"/>
        <v>8.6379999999999999</v>
      </c>
      <c r="K40" s="68">
        <v>0</v>
      </c>
    </row>
    <row r="41" spans="1:11" x14ac:dyDescent="0.2">
      <c r="A41" s="59">
        <v>35</v>
      </c>
      <c r="B41" s="20">
        <v>5290</v>
      </c>
      <c r="C41" s="21" t="s">
        <v>681</v>
      </c>
      <c r="D41" s="67">
        <v>150.69238999999999</v>
      </c>
      <c r="E41" s="67">
        <f t="shared" si="0"/>
        <v>150.69238999999999</v>
      </c>
      <c r="F41" s="67">
        <v>1010.01004</v>
      </c>
      <c r="G41" s="67">
        <v>2130.9479999999999</v>
      </c>
      <c r="H41" s="67">
        <v>23.10989</v>
      </c>
      <c r="I41" s="67">
        <f t="shared" si="1"/>
        <v>3164.0679300000002</v>
      </c>
      <c r="J41" s="67">
        <f t="shared" si="2"/>
        <v>3314.7603200000003</v>
      </c>
      <c r="K41" s="68">
        <v>0</v>
      </c>
    </row>
    <row r="42" spans="1:11" s="36" customFormat="1" ht="15" x14ac:dyDescent="0.25">
      <c r="A42" s="64">
        <v>36</v>
      </c>
      <c r="B42" s="23">
        <v>54</v>
      </c>
      <c r="C42" s="24" t="s">
        <v>682</v>
      </c>
      <c r="D42" s="65">
        <v>0</v>
      </c>
      <c r="E42" s="65">
        <f t="shared" si="0"/>
        <v>0</v>
      </c>
      <c r="F42" s="65">
        <v>0</v>
      </c>
      <c r="G42" s="65">
        <v>702.08416</v>
      </c>
      <c r="H42" s="65">
        <v>1754.16995</v>
      </c>
      <c r="I42" s="65">
        <f t="shared" si="1"/>
        <v>2456.2541099999999</v>
      </c>
      <c r="J42" s="65">
        <f t="shared" si="2"/>
        <v>2456.2541099999999</v>
      </c>
      <c r="K42" s="66">
        <v>0</v>
      </c>
    </row>
    <row r="43" spans="1:11" x14ac:dyDescent="0.2">
      <c r="A43" s="59">
        <v>37</v>
      </c>
      <c r="B43" s="20">
        <v>5404</v>
      </c>
      <c r="C43" s="21" t="s">
        <v>683</v>
      </c>
      <c r="D43" s="67"/>
      <c r="E43" s="67">
        <f t="shared" si="0"/>
        <v>0</v>
      </c>
      <c r="F43" s="67"/>
      <c r="G43" s="67"/>
      <c r="H43" s="67"/>
      <c r="I43" s="67">
        <f t="shared" si="1"/>
        <v>0</v>
      </c>
      <c r="J43" s="67">
        <f t="shared" si="2"/>
        <v>0</v>
      </c>
      <c r="K43" s="68"/>
    </row>
    <row r="44" spans="1:11" x14ac:dyDescent="0.2">
      <c r="A44" s="59">
        <v>38</v>
      </c>
      <c r="B44" s="20">
        <v>5490</v>
      </c>
      <c r="C44" s="21" t="s">
        <v>684</v>
      </c>
      <c r="D44" s="67">
        <v>0</v>
      </c>
      <c r="E44" s="67">
        <f t="shared" si="0"/>
        <v>0</v>
      </c>
      <c r="F44" s="67">
        <v>0</v>
      </c>
      <c r="G44" s="67">
        <v>702.08416</v>
      </c>
      <c r="H44" s="67">
        <v>0</v>
      </c>
      <c r="I44" s="67">
        <f t="shared" si="1"/>
        <v>702.08416</v>
      </c>
      <c r="J44" s="67">
        <f t="shared" si="2"/>
        <v>702.08416</v>
      </c>
      <c r="K44" s="68">
        <v>0</v>
      </c>
    </row>
    <row r="45" spans="1:11" x14ac:dyDescent="0.2">
      <c r="A45" s="59">
        <v>39</v>
      </c>
      <c r="B45" s="20">
        <v>549005</v>
      </c>
      <c r="C45" s="21" t="s">
        <v>685</v>
      </c>
      <c r="D45" s="67">
        <v>0</v>
      </c>
      <c r="E45" s="67">
        <f t="shared" si="0"/>
        <v>0</v>
      </c>
      <c r="F45" s="67"/>
      <c r="G45" s="67">
        <v>702.08416</v>
      </c>
      <c r="H45" s="67">
        <v>0</v>
      </c>
      <c r="I45" s="67">
        <f t="shared" si="1"/>
        <v>702.08416</v>
      </c>
      <c r="J45" s="67">
        <f t="shared" si="2"/>
        <v>702.08416</v>
      </c>
      <c r="K45" s="68">
        <v>0</v>
      </c>
    </row>
    <row r="46" spans="1:11" x14ac:dyDescent="0.2">
      <c r="A46" s="59">
        <v>40</v>
      </c>
      <c r="B46" s="20">
        <v>549010</v>
      </c>
      <c r="C46" s="21" t="s">
        <v>686</v>
      </c>
      <c r="D46" s="67"/>
      <c r="E46" s="67">
        <f t="shared" si="0"/>
        <v>0</v>
      </c>
      <c r="F46" s="67">
        <v>0</v>
      </c>
      <c r="G46" s="67">
        <v>0</v>
      </c>
      <c r="H46" s="67"/>
      <c r="I46" s="67">
        <f t="shared" si="1"/>
        <v>0</v>
      </c>
      <c r="J46" s="67">
        <f t="shared" si="2"/>
        <v>0</v>
      </c>
      <c r="K46" s="68"/>
    </row>
    <row r="47" spans="1:11" x14ac:dyDescent="0.2">
      <c r="A47" s="59">
        <v>41</v>
      </c>
      <c r="B47" s="20">
        <v>549090</v>
      </c>
      <c r="C47" s="21" t="s">
        <v>687</v>
      </c>
      <c r="D47" s="67"/>
      <c r="E47" s="67">
        <f t="shared" si="0"/>
        <v>0</v>
      </c>
      <c r="F47" s="67"/>
      <c r="G47" s="67"/>
      <c r="H47" s="67"/>
      <c r="I47" s="67">
        <f t="shared" si="1"/>
        <v>0</v>
      </c>
      <c r="J47" s="67">
        <f t="shared" si="2"/>
        <v>0</v>
      </c>
      <c r="K47" s="68"/>
    </row>
    <row r="48" spans="1:11" s="36" customFormat="1" ht="15" x14ac:dyDescent="0.25">
      <c r="A48" s="64">
        <v>42</v>
      </c>
      <c r="B48" s="23">
        <v>42</v>
      </c>
      <c r="C48" s="24" t="s">
        <v>688</v>
      </c>
      <c r="D48" s="65">
        <v>18.489070000000002</v>
      </c>
      <c r="E48" s="65">
        <f t="shared" si="0"/>
        <v>18.489070000000002</v>
      </c>
      <c r="F48" s="65">
        <v>67.991100000000003</v>
      </c>
      <c r="G48" s="65">
        <v>400.22798999999998</v>
      </c>
      <c r="H48" s="65">
        <v>532.23563000000001</v>
      </c>
      <c r="I48" s="65">
        <f t="shared" si="1"/>
        <v>1000.45472</v>
      </c>
      <c r="J48" s="65">
        <f t="shared" si="2"/>
        <v>1018.9437899999999</v>
      </c>
      <c r="K48" s="66">
        <v>0</v>
      </c>
    </row>
    <row r="49" spans="1:11" x14ac:dyDescent="0.2">
      <c r="A49" s="59">
        <v>43</v>
      </c>
      <c r="B49" s="20">
        <v>4201</v>
      </c>
      <c r="C49" s="21" t="s">
        <v>675</v>
      </c>
      <c r="D49" s="67">
        <v>0</v>
      </c>
      <c r="E49" s="67">
        <f t="shared" si="0"/>
        <v>0</v>
      </c>
      <c r="F49" s="67">
        <v>5.9960399999999998</v>
      </c>
      <c r="G49" s="67">
        <v>387.38477999999998</v>
      </c>
      <c r="H49" s="67">
        <v>0</v>
      </c>
      <c r="I49" s="67">
        <f t="shared" si="1"/>
        <v>393.38081999999997</v>
      </c>
      <c r="J49" s="67">
        <f t="shared" si="2"/>
        <v>393.38081999999997</v>
      </c>
      <c r="K49" s="68">
        <v>0</v>
      </c>
    </row>
    <row r="50" spans="1:11" x14ac:dyDescent="0.2">
      <c r="A50" s="59">
        <v>44</v>
      </c>
      <c r="B50" s="20">
        <v>4202</v>
      </c>
      <c r="C50" s="21" t="s">
        <v>689</v>
      </c>
      <c r="D50" s="67"/>
      <c r="E50" s="67">
        <f t="shared" si="0"/>
        <v>0</v>
      </c>
      <c r="F50" s="67"/>
      <c r="G50" s="67">
        <v>0</v>
      </c>
      <c r="H50" s="67">
        <v>0</v>
      </c>
      <c r="I50" s="67">
        <f t="shared" si="1"/>
        <v>0</v>
      </c>
      <c r="J50" s="67">
        <f t="shared" si="2"/>
        <v>0</v>
      </c>
      <c r="K50" s="68"/>
    </row>
    <row r="51" spans="1:11" x14ac:dyDescent="0.2">
      <c r="A51" s="59">
        <v>45</v>
      </c>
      <c r="B51" s="20">
        <v>4203</v>
      </c>
      <c r="C51" s="21" t="s">
        <v>690</v>
      </c>
      <c r="D51" s="67">
        <v>0</v>
      </c>
      <c r="E51" s="67">
        <f t="shared" si="0"/>
        <v>0</v>
      </c>
      <c r="F51" s="67">
        <v>0</v>
      </c>
      <c r="G51" s="67">
        <v>0</v>
      </c>
      <c r="H51" s="67">
        <v>0</v>
      </c>
      <c r="I51" s="67">
        <f t="shared" si="1"/>
        <v>0</v>
      </c>
      <c r="J51" s="67">
        <f t="shared" si="2"/>
        <v>0</v>
      </c>
      <c r="K51" s="68">
        <v>0</v>
      </c>
    </row>
    <row r="52" spans="1:11" x14ac:dyDescent="0.2">
      <c r="A52" s="59">
        <v>46</v>
      </c>
      <c r="B52" s="20">
        <v>4204</v>
      </c>
      <c r="C52" s="21" t="s">
        <v>691</v>
      </c>
      <c r="D52" s="67"/>
      <c r="E52" s="67">
        <f t="shared" si="0"/>
        <v>0</v>
      </c>
      <c r="F52" s="67"/>
      <c r="G52" s="67"/>
      <c r="H52" s="67"/>
      <c r="I52" s="67">
        <f t="shared" si="1"/>
        <v>0</v>
      </c>
      <c r="J52" s="67">
        <f t="shared" si="2"/>
        <v>0</v>
      </c>
      <c r="K52" s="68"/>
    </row>
    <row r="53" spans="1:11" x14ac:dyDescent="0.2">
      <c r="A53" s="59">
        <v>47</v>
      </c>
      <c r="B53" s="20">
        <v>4205</v>
      </c>
      <c r="C53" s="21" t="s">
        <v>692</v>
      </c>
      <c r="D53" s="67">
        <v>0</v>
      </c>
      <c r="E53" s="67">
        <f t="shared" si="0"/>
        <v>0</v>
      </c>
      <c r="F53" s="67">
        <v>0</v>
      </c>
      <c r="G53" s="67">
        <v>0</v>
      </c>
      <c r="H53" s="67">
        <v>0.7056</v>
      </c>
      <c r="I53" s="67">
        <f t="shared" si="1"/>
        <v>0.7056</v>
      </c>
      <c r="J53" s="67">
        <f t="shared" si="2"/>
        <v>0.7056</v>
      </c>
      <c r="K53" s="68"/>
    </row>
    <row r="54" spans="1:11" x14ac:dyDescent="0.2">
      <c r="A54" s="59">
        <v>48</v>
      </c>
      <c r="B54" s="20">
        <v>4290</v>
      </c>
      <c r="C54" s="21" t="s">
        <v>693</v>
      </c>
      <c r="D54" s="67">
        <v>18.489070000000002</v>
      </c>
      <c r="E54" s="67">
        <f t="shared" si="0"/>
        <v>18.489070000000002</v>
      </c>
      <c r="F54" s="67">
        <v>61.995060000000002</v>
      </c>
      <c r="G54" s="67">
        <v>12.843209999999999</v>
      </c>
      <c r="H54" s="67">
        <v>531.53003000000001</v>
      </c>
      <c r="I54" s="67">
        <f t="shared" si="1"/>
        <v>606.36829999999998</v>
      </c>
      <c r="J54" s="67">
        <f t="shared" si="2"/>
        <v>624.85736999999995</v>
      </c>
      <c r="K54" s="68">
        <v>0</v>
      </c>
    </row>
    <row r="55" spans="1:11" s="36" customFormat="1" ht="15" x14ac:dyDescent="0.25">
      <c r="A55" s="64">
        <v>49</v>
      </c>
      <c r="B55" s="23">
        <v>53</v>
      </c>
      <c r="C55" s="24" t="s">
        <v>694</v>
      </c>
      <c r="D55" s="65">
        <v>75.163349999999994</v>
      </c>
      <c r="E55" s="65">
        <f t="shared" si="0"/>
        <v>75.163349999999994</v>
      </c>
      <c r="F55" s="65">
        <v>4.8800000000000003E-2</v>
      </c>
      <c r="G55" s="65">
        <v>713.67537000000004</v>
      </c>
      <c r="H55" s="65">
        <v>4278.3980700000002</v>
      </c>
      <c r="I55" s="65">
        <f t="shared" si="1"/>
        <v>4992.1222400000006</v>
      </c>
      <c r="J55" s="65">
        <f t="shared" si="2"/>
        <v>5067.2855900000004</v>
      </c>
      <c r="K55" s="66">
        <v>0</v>
      </c>
    </row>
    <row r="56" spans="1:11" x14ac:dyDescent="0.2">
      <c r="A56" s="59">
        <v>50</v>
      </c>
      <c r="B56" s="20">
        <v>5301</v>
      </c>
      <c r="C56" s="21" t="s">
        <v>695</v>
      </c>
      <c r="D56" s="67">
        <v>0</v>
      </c>
      <c r="E56" s="67">
        <f t="shared" si="0"/>
        <v>0</v>
      </c>
      <c r="F56" s="67">
        <v>0</v>
      </c>
      <c r="G56" s="67">
        <v>0</v>
      </c>
      <c r="H56" s="67">
        <v>0</v>
      </c>
      <c r="I56" s="67">
        <f t="shared" si="1"/>
        <v>0</v>
      </c>
      <c r="J56" s="67">
        <f t="shared" si="2"/>
        <v>0</v>
      </c>
      <c r="K56" s="68">
        <v>0</v>
      </c>
    </row>
    <row r="57" spans="1:11" x14ac:dyDescent="0.2">
      <c r="A57" s="59">
        <v>51</v>
      </c>
      <c r="B57" s="20">
        <v>5302</v>
      </c>
      <c r="C57" s="21" t="s">
        <v>696</v>
      </c>
      <c r="D57" s="67">
        <v>75.163349999999994</v>
      </c>
      <c r="E57" s="67">
        <f t="shared" si="0"/>
        <v>75.163349999999994</v>
      </c>
      <c r="F57" s="67">
        <v>4.8800000000000003E-2</v>
      </c>
      <c r="G57" s="67">
        <v>704.11316999999997</v>
      </c>
      <c r="H57" s="67">
        <v>153.87164999999999</v>
      </c>
      <c r="I57" s="67">
        <f t="shared" si="1"/>
        <v>858.03361999999993</v>
      </c>
      <c r="J57" s="67">
        <f t="shared" si="2"/>
        <v>933.19696999999996</v>
      </c>
      <c r="K57" s="68">
        <v>0</v>
      </c>
    </row>
    <row r="58" spans="1:11" x14ac:dyDescent="0.2">
      <c r="A58" s="59">
        <v>52</v>
      </c>
      <c r="B58" s="20">
        <v>5303</v>
      </c>
      <c r="C58" s="21" t="s">
        <v>697</v>
      </c>
      <c r="D58" s="67">
        <v>0</v>
      </c>
      <c r="E58" s="67">
        <f t="shared" si="0"/>
        <v>0</v>
      </c>
      <c r="F58" s="67">
        <v>0</v>
      </c>
      <c r="G58" s="67">
        <v>0</v>
      </c>
      <c r="H58" s="67">
        <v>521.77538000000004</v>
      </c>
      <c r="I58" s="67">
        <f t="shared" si="1"/>
        <v>521.77538000000004</v>
      </c>
      <c r="J58" s="67">
        <f t="shared" si="2"/>
        <v>521.77538000000004</v>
      </c>
      <c r="K58" s="68">
        <v>0</v>
      </c>
    </row>
    <row r="59" spans="1:11" x14ac:dyDescent="0.2">
      <c r="A59" s="59">
        <v>53</v>
      </c>
      <c r="B59" s="20">
        <v>5304</v>
      </c>
      <c r="C59" s="21" t="s">
        <v>698</v>
      </c>
      <c r="D59" s="67">
        <v>0</v>
      </c>
      <c r="E59" s="67">
        <f t="shared" si="0"/>
        <v>0</v>
      </c>
      <c r="F59" s="67">
        <v>0</v>
      </c>
      <c r="G59" s="67">
        <v>0</v>
      </c>
      <c r="H59" s="67">
        <v>3561.4948300000001</v>
      </c>
      <c r="I59" s="67">
        <f t="shared" si="1"/>
        <v>3561.4948300000001</v>
      </c>
      <c r="J59" s="67">
        <f t="shared" si="2"/>
        <v>3561.4948300000001</v>
      </c>
      <c r="K59" s="68"/>
    </row>
    <row r="60" spans="1:11" x14ac:dyDescent="0.2">
      <c r="A60" s="59">
        <v>54</v>
      </c>
      <c r="B60" s="20">
        <v>5305</v>
      </c>
      <c r="C60" s="21" t="s">
        <v>699</v>
      </c>
      <c r="D60" s="67"/>
      <c r="E60" s="67">
        <f t="shared" si="0"/>
        <v>0</v>
      </c>
      <c r="F60" s="67"/>
      <c r="G60" s="67">
        <v>9.5622000000000007</v>
      </c>
      <c r="H60" s="67">
        <v>41.256210000000003</v>
      </c>
      <c r="I60" s="67">
        <f t="shared" si="1"/>
        <v>50.81841</v>
      </c>
      <c r="J60" s="67">
        <f t="shared" si="2"/>
        <v>50.81841</v>
      </c>
      <c r="K60" s="68"/>
    </row>
    <row r="61" spans="1:11" s="36" customFormat="1" ht="15" x14ac:dyDescent="0.25">
      <c r="A61" s="64">
        <v>55</v>
      </c>
      <c r="B61" s="23">
        <v>43</v>
      </c>
      <c r="C61" s="24" t="s">
        <v>700</v>
      </c>
      <c r="D61" s="65">
        <v>25.474039999999999</v>
      </c>
      <c r="E61" s="65">
        <f t="shared" si="0"/>
        <v>25.474039999999999</v>
      </c>
      <c r="F61" s="65">
        <v>0</v>
      </c>
      <c r="G61" s="65">
        <v>0</v>
      </c>
      <c r="H61" s="65">
        <v>4312.7677400000002</v>
      </c>
      <c r="I61" s="65">
        <f t="shared" si="1"/>
        <v>4312.7677400000002</v>
      </c>
      <c r="J61" s="65">
        <f t="shared" si="2"/>
        <v>4338.2417800000003</v>
      </c>
      <c r="K61" s="66">
        <v>0</v>
      </c>
    </row>
    <row r="62" spans="1:11" x14ac:dyDescent="0.2">
      <c r="A62" s="59">
        <v>56</v>
      </c>
      <c r="B62" s="20">
        <v>4301</v>
      </c>
      <c r="C62" s="21" t="s">
        <v>701</v>
      </c>
      <c r="D62" s="67">
        <v>5.602E-2</v>
      </c>
      <c r="E62" s="67">
        <f t="shared" si="0"/>
        <v>5.602E-2</v>
      </c>
      <c r="F62" s="67">
        <v>0</v>
      </c>
      <c r="G62" s="67">
        <v>0</v>
      </c>
      <c r="H62" s="67">
        <v>0</v>
      </c>
      <c r="I62" s="67">
        <f t="shared" si="1"/>
        <v>0</v>
      </c>
      <c r="J62" s="67">
        <f t="shared" si="2"/>
        <v>5.602E-2</v>
      </c>
      <c r="K62" s="68">
        <v>0</v>
      </c>
    </row>
    <row r="63" spans="1:11" x14ac:dyDescent="0.2">
      <c r="A63" s="59">
        <v>57</v>
      </c>
      <c r="B63" s="20">
        <v>4302</v>
      </c>
      <c r="C63" s="21" t="s">
        <v>696</v>
      </c>
      <c r="D63" s="67">
        <v>18.93882</v>
      </c>
      <c r="E63" s="67">
        <f t="shared" si="0"/>
        <v>18.93882</v>
      </c>
      <c r="F63" s="67">
        <v>0</v>
      </c>
      <c r="G63" s="67">
        <v>0</v>
      </c>
      <c r="H63" s="67">
        <v>261.94286</v>
      </c>
      <c r="I63" s="67">
        <f t="shared" si="1"/>
        <v>261.94286</v>
      </c>
      <c r="J63" s="67">
        <f t="shared" si="2"/>
        <v>280.88168000000002</v>
      </c>
      <c r="K63" s="68">
        <v>0</v>
      </c>
    </row>
    <row r="64" spans="1:11" x14ac:dyDescent="0.2">
      <c r="A64" s="59">
        <v>58</v>
      </c>
      <c r="B64" s="20">
        <v>4303</v>
      </c>
      <c r="C64" s="21" t="s">
        <v>697</v>
      </c>
      <c r="D64" s="67">
        <v>6.4791999999999996</v>
      </c>
      <c r="E64" s="67">
        <f t="shared" si="0"/>
        <v>6.4791999999999996</v>
      </c>
      <c r="F64" s="67">
        <v>0</v>
      </c>
      <c r="G64" s="67">
        <v>0</v>
      </c>
      <c r="H64" s="67">
        <v>790.36243999999999</v>
      </c>
      <c r="I64" s="67">
        <f t="shared" si="1"/>
        <v>790.36243999999999</v>
      </c>
      <c r="J64" s="67">
        <f t="shared" si="2"/>
        <v>796.84163999999998</v>
      </c>
      <c r="K64" s="68">
        <v>0</v>
      </c>
    </row>
    <row r="65" spans="1:11" x14ac:dyDescent="0.2">
      <c r="A65" s="59">
        <v>59</v>
      </c>
      <c r="B65" s="20">
        <v>4304</v>
      </c>
      <c r="C65" s="21" t="s">
        <v>702</v>
      </c>
      <c r="D65" s="67">
        <v>0</v>
      </c>
      <c r="E65" s="67">
        <f t="shared" si="0"/>
        <v>0</v>
      </c>
      <c r="F65" s="67">
        <v>0</v>
      </c>
      <c r="G65" s="67">
        <v>0</v>
      </c>
      <c r="H65" s="67">
        <v>3260.4624399999998</v>
      </c>
      <c r="I65" s="67">
        <f t="shared" si="1"/>
        <v>3260.4624399999998</v>
      </c>
      <c r="J65" s="67">
        <f t="shared" si="2"/>
        <v>3260.4624399999998</v>
      </c>
      <c r="K65" s="68"/>
    </row>
    <row r="66" spans="1:11" s="36" customFormat="1" ht="15" x14ac:dyDescent="0.25">
      <c r="A66" s="64">
        <v>60</v>
      </c>
      <c r="B66" s="23"/>
      <c r="C66" s="24" t="s">
        <v>703</v>
      </c>
      <c r="D66" s="65">
        <v>8673.1114899999993</v>
      </c>
      <c r="E66" s="65">
        <f t="shared" si="0"/>
        <v>8673.1114899999993</v>
      </c>
      <c r="F66" s="65">
        <v>47730.059159999997</v>
      </c>
      <c r="G66" s="65">
        <v>61811.043539999999</v>
      </c>
      <c r="H66" s="65">
        <v>62840.64097</v>
      </c>
      <c r="I66" s="65">
        <f t="shared" si="1"/>
        <v>172381.74367</v>
      </c>
      <c r="J66" s="65">
        <f t="shared" si="2"/>
        <v>181054.85516000001</v>
      </c>
      <c r="K66" s="66">
        <v>12465.036550000001</v>
      </c>
    </row>
    <row r="67" spans="1:11" x14ac:dyDescent="0.2">
      <c r="B67" s="20"/>
      <c r="C67" s="21"/>
      <c r="D67" s="67"/>
      <c r="E67" s="67"/>
      <c r="F67" s="67"/>
      <c r="G67" s="67"/>
      <c r="H67" s="67"/>
      <c r="I67" s="67"/>
      <c r="J67" s="67"/>
      <c r="K67" s="68"/>
    </row>
    <row r="68" spans="1:11" s="36" customFormat="1" ht="15" x14ac:dyDescent="0.25">
      <c r="A68" s="64">
        <v>62</v>
      </c>
      <c r="B68" s="23">
        <v>44</v>
      </c>
      <c r="C68" s="24" t="s">
        <v>609</v>
      </c>
      <c r="D68" s="65">
        <v>12146.660819999999</v>
      </c>
      <c r="E68" s="65">
        <f t="shared" si="0"/>
        <v>12146.660819999999</v>
      </c>
      <c r="F68" s="65">
        <v>525.81852000000003</v>
      </c>
      <c r="G68" s="65">
        <v>33409.827019999997</v>
      </c>
      <c r="H68" s="65">
        <v>28255.297299999998</v>
      </c>
      <c r="I68" s="65">
        <f t="shared" si="1"/>
        <v>62190.942839999996</v>
      </c>
      <c r="J68" s="65">
        <f t="shared" si="2"/>
        <v>74337.603659999993</v>
      </c>
      <c r="K68" s="66">
        <v>177.54675</v>
      </c>
    </row>
    <row r="69" spans="1:11" x14ac:dyDescent="0.2">
      <c r="A69" s="59">
        <v>63</v>
      </c>
      <c r="B69" s="20">
        <v>4401</v>
      </c>
      <c r="C69" s="21" t="s">
        <v>704</v>
      </c>
      <c r="D69" s="67">
        <v>6.0000000000000002E-5</v>
      </c>
      <c r="E69" s="67">
        <f t="shared" si="0"/>
        <v>6.0000000000000002E-5</v>
      </c>
      <c r="F69" s="67">
        <v>15.53604</v>
      </c>
      <c r="G69" s="67">
        <v>560.30565000000001</v>
      </c>
      <c r="H69" s="67">
        <v>6.5674799999999998</v>
      </c>
      <c r="I69" s="67">
        <f t="shared" si="1"/>
        <v>582.40917000000002</v>
      </c>
      <c r="J69" s="67">
        <f t="shared" si="2"/>
        <v>582.40922999999998</v>
      </c>
      <c r="K69" s="68">
        <v>0</v>
      </c>
    </row>
    <row r="70" spans="1:11" x14ac:dyDescent="0.2">
      <c r="A70" s="59">
        <v>64</v>
      </c>
      <c r="B70" s="20">
        <v>4402</v>
      </c>
      <c r="C70" s="21" t="s">
        <v>680</v>
      </c>
      <c r="D70" s="67">
        <v>11416.71048</v>
      </c>
      <c r="E70" s="67">
        <f t="shared" si="0"/>
        <v>11416.71048</v>
      </c>
      <c r="F70" s="67">
        <v>478.19992999999999</v>
      </c>
      <c r="G70" s="67">
        <v>29328.744549999999</v>
      </c>
      <c r="H70" s="67">
        <v>15673.069810000001</v>
      </c>
      <c r="I70" s="67">
        <f t="shared" si="1"/>
        <v>45480.014289999999</v>
      </c>
      <c r="J70" s="67">
        <f t="shared" si="2"/>
        <v>56896.724770000001</v>
      </c>
      <c r="K70" s="68">
        <v>-808.55097000000001</v>
      </c>
    </row>
    <row r="71" spans="1:11" x14ac:dyDescent="0.2">
      <c r="A71" s="59">
        <v>65</v>
      </c>
      <c r="B71" s="20">
        <v>4403</v>
      </c>
      <c r="C71" s="21" t="s">
        <v>705</v>
      </c>
      <c r="D71" s="67">
        <v>537.03300000000002</v>
      </c>
      <c r="E71" s="67">
        <f t="shared" si="0"/>
        <v>537.03300000000002</v>
      </c>
      <c r="F71" s="67">
        <v>32.082549999999998</v>
      </c>
      <c r="G71" s="67">
        <v>3285.5598100000002</v>
      </c>
      <c r="H71" s="67">
        <v>6828.7121900000002</v>
      </c>
      <c r="I71" s="67">
        <f t="shared" si="1"/>
        <v>10146.35455</v>
      </c>
      <c r="J71" s="67">
        <f t="shared" si="2"/>
        <v>10683.387549999999</v>
      </c>
      <c r="K71" s="68">
        <v>974.44385</v>
      </c>
    </row>
    <row r="72" spans="1:11" x14ac:dyDescent="0.2">
      <c r="A72" s="59">
        <v>66</v>
      </c>
      <c r="B72" s="20">
        <v>4404</v>
      </c>
      <c r="C72" s="21" t="s">
        <v>706</v>
      </c>
      <c r="D72" s="67">
        <v>96.121740000000003</v>
      </c>
      <c r="E72" s="67">
        <f t="shared" si="0"/>
        <v>96.121740000000003</v>
      </c>
      <c r="F72" s="67">
        <v>0</v>
      </c>
      <c r="G72" s="67">
        <v>0</v>
      </c>
      <c r="H72" s="67">
        <v>1651.16769</v>
      </c>
      <c r="I72" s="67">
        <f t="shared" si="1"/>
        <v>1651.16769</v>
      </c>
      <c r="J72" s="67">
        <f t="shared" si="2"/>
        <v>1747.28943</v>
      </c>
      <c r="K72" s="68">
        <v>0</v>
      </c>
    </row>
    <row r="73" spans="1:11" x14ac:dyDescent="0.2">
      <c r="A73" s="59">
        <v>67</v>
      </c>
      <c r="B73" s="20">
        <v>4405</v>
      </c>
      <c r="C73" s="21" t="s">
        <v>707</v>
      </c>
      <c r="D73" s="67">
        <v>96.795540000000003</v>
      </c>
      <c r="E73" s="67">
        <f t="shared" si="0"/>
        <v>96.795540000000003</v>
      </c>
      <c r="F73" s="67">
        <v>0</v>
      </c>
      <c r="G73" s="67">
        <v>235.21700999999999</v>
      </c>
      <c r="H73" s="67">
        <v>4095.7801300000001</v>
      </c>
      <c r="I73" s="67">
        <f t="shared" si="1"/>
        <v>4330.9971400000004</v>
      </c>
      <c r="J73" s="67">
        <f t="shared" si="2"/>
        <v>4427.7926800000005</v>
      </c>
      <c r="K73" s="68">
        <v>11.65387</v>
      </c>
    </row>
    <row r="74" spans="1:11" x14ac:dyDescent="0.2">
      <c r="A74" s="59">
        <v>68</v>
      </c>
      <c r="B74" s="20">
        <v>4406</v>
      </c>
      <c r="C74" s="21" t="s">
        <v>689</v>
      </c>
      <c r="D74" s="67"/>
      <c r="E74" s="67">
        <f t="shared" si="0"/>
        <v>0</v>
      </c>
      <c r="F74" s="67"/>
      <c r="G74" s="67">
        <v>0</v>
      </c>
      <c r="H74" s="67">
        <v>0</v>
      </c>
      <c r="I74" s="67">
        <f t="shared" si="1"/>
        <v>0</v>
      </c>
      <c r="J74" s="67">
        <f t="shared" si="2"/>
        <v>0</v>
      </c>
      <c r="K74" s="68"/>
    </row>
    <row r="75" spans="1:11" s="36" customFormat="1" ht="15" x14ac:dyDescent="0.25">
      <c r="A75" s="64">
        <v>69</v>
      </c>
      <c r="B75" s="23"/>
      <c r="C75" s="24" t="s">
        <v>708</v>
      </c>
      <c r="D75" s="65">
        <v>-3473.5493299999998</v>
      </c>
      <c r="E75" s="65">
        <f t="shared" ref="E75:E104" si="3">+D75</f>
        <v>-3473.5493299999998</v>
      </c>
      <c r="F75" s="65">
        <v>47204.240640000004</v>
      </c>
      <c r="G75" s="65">
        <v>28401.216520000002</v>
      </c>
      <c r="H75" s="65">
        <v>34585.343670000002</v>
      </c>
      <c r="I75" s="65">
        <f t="shared" ref="I75:I104" si="4">+F75+G75+H75</f>
        <v>110190.80083000001</v>
      </c>
      <c r="J75" s="65">
        <f t="shared" ref="J75:J104" si="5">+E75+I75</f>
        <v>106717.25150000001</v>
      </c>
      <c r="K75" s="66">
        <v>12287.489799999999</v>
      </c>
    </row>
    <row r="76" spans="1:11" x14ac:dyDescent="0.2">
      <c r="B76" s="20"/>
      <c r="C76" s="21"/>
      <c r="D76" s="67"/>
      <c r="E76" s="67"/>
      <c r="F76" s="67"/>
      <c r="G76" s="67"/>
      <c r="H76" s="67"/>
      <c r="I76" s="67"/>
      <c r="J76" s="67"/>
      <c r="K76" s="68"/>
    </row>
    <row r="77" spans="1:11" s="36" customFormat="1" ht="15" x14ac:dyDescent="0.25">
      <c r="A77" s="64">
        <v>71</v>
      </c>
      <c r="B77" s="23">
        <v>45</v>
      </c>
      <c r="C77" s="24" t="s">
        <v>709</v>
      </c>
      <c r="D77" s="65">
        <v>8497.8419699999995</v>
      </c>
      <c r="E77" s="65">
        <f t="shared" si="3"/>
        <v>8497.8419699999995</v>
      </c>
      <c r="F77" s="65">
        <v>10084.52269</v>
      </c>
      <c r="G77" s="65">
        <v>53217.844259999998</v>
      </c>
      <c r="H77" s="65">
        <v>30063.077669999999</v>
      </c>
      <c r="I77" s="65">
        <f t="shared" si="4"/>
        <v>93365.444619999995</v>
      </c>
      <c r="J77" s="65">
        <f t="shared" si="5"/>
        <v>101863.28658999999</v>
      </c>
      <c r="K77" s="66">
        <v>8458.0173799999993</v>
      </c>
    </row>
    <row r="78" spans="1:11" x14ac:dyDescent="0.2">
      <c r="A78" s="59">
        <v>72</v>
      </c>
      <c r="B78" s="20">
        <v>4501</v>
      </c>
      <c r="C78" s="21" t="s">
        <v>710</v>
      </c>
      <c r="D78" s="67">
        <v>5132.9870099999998</v>
      </c>
      <c r="E78" s="67">
        <f t="shared" si="3"/>
        <v>5132.9870099999998</v>
      </c>
      <c r="F78" s="67">
        <v>7903.5798500000001</v>
      </c>
      <c r="G78" s="67">
        <v>34384.132769999997</v>
      </c>
      <c r="H78" s="67">
        <v>17209.658660000001</v>
      </c>
      <c r="I78" s="67">
        <f t="shared" si="4"/>
        <v>59497.371279999999</v>
      </c>
      <c r="J78" s="67">
        <f t="shared" si="5"/>
        <v>64630.358289999996</v>
      </c>
      <c r="K78" s="68">
        <v>6111.5889699999998</v>
      </c>
    </row>
    <row r="79" spans="1:11" x14ac:dyDescent="0.2">
      <c r="A79" s="59">
        <v>73</v>
      </c>
      <c r="B79" s="20">
        <v>4502</v>
      </c>
      <c r="C79" s="21" t="s">
        <v>711</v>
      </c>
      <c r="D79" s="67">
        <v>883.59166000000005</v>
      </c>
      <c r="E79" s="67">
        <f t="shared" si="3"/>
        <v>883.59166000000005</v>
      </c>
      <c r="F79" s="67">
        <v>0.70962000000000003</v>
      </c>
      <c r="G79" s="67">
        <v>6.1273600000000004</v>
      </c>
      <c r="H79" s="67">
        <v>123.13857</v>
      </c>
      <c r="I79" s="67">
        <f t="shared" si="4"/>
        <v>129.97555</v>
      </c>
      <c r="J79" s="67">
        <f t="shared" si="5"/>
        <v>1013.56721</v>
      </c>
      <c r="K79" s="68">
        <v>0.70226999999999995</v>
      </c>
    </row>
    <row r="80" spans="1:11" x14ac:dyDescent="0.2">
      <c r="A80" s="59">
        <v>74</v>
      </c>
      <c r="B80" s="20">
        <v>4503</v>
      </c>
      <c r="C80" s="21" t="s">
        <v>712</v>
      </c>
      <c r="D80" s="67">
        <v>1005.88025</v>
      </c>
      <c r="E80" s="67">
        <f t="shared" si="3"/>
        <v>1005.88025</v>
      </c>
      <c r="F80" s="67">
        <v>736.55023000000006</v>
      </c>
      <c r="G80" s="67">
        <v>9482.1535299999996</v>
      </c>
      <c r="H80" s="67">
        <v>4621.4462400000002</v>
      </c>
      <c r="I80" s="67">
        <f t="shared" si="4"/>
        <v>14840.150000000001</v>
      </c>
      <c r="J80" s="67">
        <f t="shared" si="5"/>
        <v>15846.030250000002</v>
      </c>
      <c r="K80" s="68">
        <v>1081.0242599999999</v>
      </c>
    </row>
    <row r="81" spans="1:11" x14ac:dyDescent="0.2">
      <c r="A81" s="59">
        <v>75</v>
      </c>
      <c r="B81" s="20">
        <v>4504</v>
      </c>
      <c r="C81" s="21" t="s">
        <v>713</v>
      </c>
      <c r="D81" s="67">
        <v>349.08157</v>
      </c>
      <c r="E81" s="67">
        <f t="shared" si="3"/>
        <v>349.08157</v>
      </c>
      <c r="F81" s="67">
        <v>188.04728</v>
      </c>
      <c r="G81" s="67">
        <v>3855.3663499999998</v>
      </c>
      <c r="H81" s="67">
        <v>1971.30492</v>
      </c>
      <c r="I81" s="67">
        <f t="shared" si="4"/>
        <v>6014.7185499999996</v>
      </c>
      <c r="J81" s="67">
        <f t="shared" si="5"/>
        <v>6363.8001199999999</v>
      </c>
      <c r="K81" s="68">
        <v>160.25958</v>
      </c>
    </row>
    <row r="82" spans="1:11" x14ac:dyDescent="0.2">
      <c r="A82" s="59">
        <v>76</v>
      </c>
      <c r="B82" s="20">
        <v>4505</v>
      </c>
      <c r="C82" s="21" t="s">
        <v>714</v>
      </c>
      <c r="D82" s="67">
        <v>259.78003999999999</v>
      </c>
      <c r="E82" s="67">
        <f t="shared" si="3"/>
        <v>259.78003999999999</v>
      </c>
      <c r="F82" s="67">
        <v>678.80323999999996</v>
      </c>
      <c r="G82" s="67">
        <v>683.77153999999996</v>
      </c>
      <c r="H82" s="67">
        <v>2185.6536000000001</v>
      </c>
      <c r="I82" s="67">
        <f t="shared" si="4"/>
        <v>3548.22838</v>
      </c>
      <c r="J82" s="67">
        <f t="shared" si="5"/>
        <v>3808.0084200000001</v>
      </c>
      <c r="K82" s="68">
        <v>530.27371000000005</v>
      </c>
    </row>
    <row r="83" spans="1:11" x14ac:dyDescent="0.2">
      <c r="A83" s="59">
        <v>77</v>
      </c>
      <c r="B83" s="20">
        <v>4506</v>
      </c>
      <c r="C83" s="21" t="s">
        <v>715</v>
      </c>
      <c r="D83" s="67">
        <v>113.36557999999999</v>
      </c>
      <c r="E83" s="67">
        <f t="shared" si="3"/>
        <v>113.36557999999999</v>
      </c>
      <c r="F83" s="67">
        <v>65.446870000000004</v>
      </c>
      <c r="G83" s="67">
        <v>1770.3126</v>
      </c>
      <c r="H83" s="67">
        <v>547.96493999999996</v>
      </c>
      <c r="I83" s="67">
        <f t="shared" si="4"/>
        <v>2383.7244099999998</v>
      </c>
      <c r="J83" s="67">
        <f t="shared" si="5"/>
        <v>2497.0899899999999</v>
      </c>
      <c r="K83" s="68">
        <v>0</v>
      </c>
    </row>
    <row r="84" spans="1:11" x14ac:dyDescent="0.2">
      <c r="A84" s="59">
        <v>78</v>
      </c>
      <c r="B84" s="20">
        <v>4507</v>
      </c>
      <c r="C84" s="21" t="s">
        <v>716</v>
      </c>
      <c r="D84" s="67">
        <v>753.15585999999996</v>
      </c>
      <c r="E84" s="67">
        <f t="shared" si="3"/>
        <v>753.15585999999996</v>
      </c>
      <c r="F84" s="67">
        <v>511.38560000000001</v>
      </c>
      <c r="G84" s="67">
        <v>3035.98011</v>
      </c>
      <c r="H84" s="67">
        <v>3403.9107399999998</v>
      </c>
      <c r="I84" s="67">
        <f t="shared" si="4"/>
        <v>6951.2764499999994</v>
      </c>
      <c r="J84" s="67">
        <f t="shared" si="5"/>
        <v>7704.4323099999992</v>
      </c>
      <c r="K84" s="68">
        <v>574.16858999999999</v>
      </c>
    </row>
    <row r="85" spans="1:11" s="36" customFormat="1" ht="15" x14ac:dyDescent="0.25">
      <c r="A85" s="64">
        <v>79</v>
      </c>
      <c r="B85" s="23"/>
      <c r="C85" s="24" t="s">
        <v>717</v>
      </c>
      <c r="D85" s="65">
        <v>-11971.391299999999</v>
      </c>
      <c r="E85" s="65">
        <f t="shared" si="3"/>
        <v>-11971.391299999999</v>
      </c>
      <c r="F85" s="65">
        <v>37119.717949999998</v>
      </c>
      <c r="G85" s="65">
        <v>-24816.62774</v>
      </c>
      <c r="H85" s="65">
        <v>4522.2659999999996</v>
      </c>
      <c r="I85" s="65">
        <f t="shared" si="4"/>
        <v>16825.356209999998</v>
      </c>
      <c r="J85" s="65">
        <f t="shared" si="5"/>
        <v>4853.9649099999988</v>
      </c>
      <c r="K85" s="66">
        <v>3829.4724200000001</v>
      </c>
    </row>
    <row r="86" spans="1:11" x14ac:dyDescent="0.2">
      <c r="B86" s="20"/>
      <c r="C86" s="21"/>
      <c r="D86" s="67"/>
      <c r="E86" s="67"/>
      <c r="F86" s="67"/>
      <c r="G86" s="67"/>
      <c r="H86" s="67"/>
      <c r="I86" s="67"/>
      <c r="J86" s="67"/>
      <c r="K86" s="68"/>
    </row>
    <row r="87" spans="1:11" s="36" customFormat="1" ht="15" x14ac:dyDescent="0.25">
      <c r="A87" s="64">
        <v>81</v>
      </c>
      <c r="B87" s="23">
        <v>55</v>
      </c>
      <c r="C87" s="24" t="s">
        <v>718</v>
      </c>
      <c r="D87" s="65">
        <v>963.91768999999999</v>
      </c>
      <c r="E87" s="65">
        <f t="shared" si="3"/>
        <v>963.91768999999999</v>
      </c>
      <c r="F87" s="65">
        <v>0</v>
      </c>
      <c r="G87" s="65">
        <v>0.49069000000000002</v>
      </c>
      <c r="H87" s="65">
        <v>41522.805639999999</v>
      </c>
      <c r="I87" s="65">
        <f t="shared" si="4"/>
        <v>41523.296329999997</v>
      </c>
      <c r="J87" s="65">
        <f t="shared" si="5"/>
        <v>42487.214019999999</v>
      </c>
      <c r="K87" s="66">
        <v>0</v>
      </c>
    </row>
    <row r="88" spans="1:11" x14ac:dyDescent="0.2">
      <c r="A88" s="59">
        <v>82</v>
      </c>
      <c r="B88" s="20">
        <v>5502</v>
      </c>
      <c r="C88" s="21" t="s">
        <v>719</v>
      </c>
      <c r="D88" s="67">
        <v>114.33022</v>
      </c>
      <c r="E88" s="67">
        <f t="shared" si="3"/>
        <v>114.33022</v>
      </c>
      <c r="F88" s="67"/>
      <c r="G88" s="67">
        <v>0</v>
      </c>
      <c r="H88" s="67">
        <v>0</v>
      </c>
      <c r="I88" s="67">
        <f t="shared" si="4"/>
        <v>0</v>
      </c>
      <c r="J88" s="67">
        <f t="shared" si="5"/>
        <v>114.33022</v>
      </c>
      <c r="K88" s="68"/>
    </row>
    <row r="89" spans="1:11" x14ac:dyDescent="0.2">
      <c r="A89" s="59">
        <v>83</v>
      </c>
      <c r="B89" s="20">
        <v>5590</v>
      </c>
      <c r="C89" s="21" t="s">
        <v>687</v>
      </c>
      <c r="D89" s="67">
        <v>0</v>
      </c>
      <c r="E89" s="67">
        <f t="shared" si="3"/>
        <v>0</v>
      </c>
      <c r="F89" s="67">
        <v>0</v>
      </c>
      <c r="G89" s="67">
        <v>9.3900000000000008E-3</v>
      </c>
      <c r="H89" s="67">
        <v>0</v>
      </c>
      <c r="I89" s="67">
        <f t="shared" si="4"/>
        <v>9.3900000000000008E-3</v>
      </c>
      <c r="J89" s="67">
        <f t="shared" si="5"/>
        <v>9.3900000000000008E-3</v>
      </c>
      <c r="K89" s="68">
        <v>0</v>
      </c>
    </row>
    <row r="90" spans="1:11" s="36" customFormat="1" ht="15" x14ac:dyDescent="0.25">
      <c r="A90" s="64">
        <v>84</v>
      </c>
      <c r="B90" s="23">
        <v>46</v>
      </c>
      <c r="C90" s="24" t="s">
        <v>720</v>
      </c>
      <c r="D90" s="65">
        <v>674.77242999999999</v>
      </c>
      <c r="E90" s="65">
        <f t="shared" si="3"/>
        <v>674.77242999999999</v>
      </c>
      <c r="F90" s="65">
        <v>6.0000000000000002E-5</v>
      </c>
      <c r="G90" s="65">
        <v>15.26451</v>
      </c>
      <c r="H90" s="65">
        <v>1032.62637</v>
      </c>
      <c r="I90" s="65">
        <f t="shared" si="4"/>
        <v>1047.89094</v>
      </c>
      <c r="J90" s="65">
        <f t="shared" si="5"/>
        <v>1722.66337</v>
      </c>
      <c r="K90" s="66">
        <v>0</v>
      </c>
    </row>
    <row r="91" spans="1:11" x14ac:dyDescent="0.2">
      <c r="A91" s="59">
        <v>85</v>
      </c>
      <c r="B91" s="20">
        <v>4690</v>
      </c>
      <c r="C91" s="21" t="s">
        <v>681</v>
      </c>
      <c r="D91" s="67">
        <v>0.25459999999999999</v>
      </c>
      <c r="E91" s="67">
        <f t="shared" si="3"/>
        <v>0.25459999999999999</v>
      </c>
      <c r="F91" s="67">
        <v>6.0000000000000002E-5</v>
      </c>
      <c r="G91" s="67">
        <v>15.26451</v>
      </c>
      <c r="H91" s="67">
        <v>0.71718999999999999</v>
      </c>
      <c r="I91" s="67">
        <f t="shared" si="4"/>
        <v>15.98176</v>
      </c>
      <c r="J91" s="67">
        <f t="shared" si="5"/>
        <v>16.236360000000001</v>
      </c>
      <c r="K91" s="68">
        <v>0</v>
      </c>
    </row>
    <row r="92" spans="1:11" s="36" customFormat="1" ht="15" x14ac:dyDescent="0.25">
      <c r="A92" s="64">
        <v>86</v>
      </c>
      <c r="B92" s="23"/>
      <c r="C92" s="24" t="s">
        <v>721</v>
      </c>
      <c r="D92" s="65">
        <v>-11682.24604</v>
      </c>
      <c r="E92" s="65">
        <f t="shared" si="3"/>
        <v>-11682.24604</v>
      </c>
      <c r="F92" s="65">
        <v>37119.71789</v>
      </c>
      <c r="G92" s="65">
        <v>-24831.401559999998</v>
      </c>
      <c r="H92" s="65">
        <v>45012.445269999997</v>
      </c>
      <c r="I92" s="65">
        <f t="shared" si="4"/>
        <v>57300.761599999998</v>
      </c>
      <c r="J92" s="65">
        <f t="shared" si="5"/>
        <v>45618.51556</v>
      </c>
      <c r="K92" s="66">
        <v>3829.4724200000001</v>
      </c>
    </row>
    <row r="93" spans="1:11" x14ac:dyDescent="0.2">
      <c r="B93" s="20"/>
      <c r="C93" s="21"/>
      <c r="D93" s="67"/>
      <c r="E93" s="67">
        <f t="shared" si="3"/>
        <v>0</v>
      </c>
      <c r="F93" s="67"/>
      <c r="G93" s="67"/>
      <c r="H93" s="67"/>
      <c r="I93" s="67"/>
      <c r="J93" s="67"/>
      <c r="K93" s="68"/>
    </row>
    <row r="94" spans="1:11" s="36" customFormat="1" ht="15" x14ac:dyDescent="0.25">
      <c r="A94" s="64">
        <v>88</v>
      </c>
      <c r="B94" s="23">
        <v>56</v>
      </c>
      <c r="C94" s="24" t="s">
        <v>722</v>
      </c>
      <c r="D94" s="65">
        <v>6284.72847</v>
      </c>
      <c r="E94" s="65">
        <f t="shared" si="3"/>
        <v>6284.72847</v>
      </c>
      <c r="F94" s="65">
        <v>1458.26991</v>
      </c>
      <c r="G94" s="65">
        <v>20218.279500000001</v>
      </c>
      <c r="H94" s="65">
        <v>28603.541290000001</v>
      </c>
      <c r="I94" s="65">
        <f t="shared" si="4"/>
        <v>50280.090700000001</v>
      </c>
      <c r="J94" s="65">
        <f t="shared" si="5"/>
        <v>56564.819170000002</v>
      </c>
      <c r="K94" s="66">
        <v>769.12436000000002</v>
      </c>
    </row>
    <row r="95" spans="1:11" x14ac:dyDescent="0.2">
      <c r="A95" s="59">
        <v>89</v>
      </c>
      <c r="B95" s="20">
        <v>5602</v>
      </c>
      <c r="C95" s="21" t="s">
        <v>723</v>
      </c>
      <c r="D95" s="67">
        <v>0</v>
      </c>
      <c r="E95" s="67">
        <f t="shared" si="3"/>
        <v>0</v>
      </c>
      <c r="F95" s="67">
        <v>0</v>
      </c>
      <c r="G95" s="67">
        <v>0</v>
      </c>
      <c r="H95" s="67">
        <v>1.5815300000000001</v>
      </c>
      <c r="I95" s="67">
        <f t="shared" si="4"/>
        <v>1.5815300000000001</v>
      </c>
      <c r="J95" s="67">
        <f t="shared" si="5"/>
        <v>1.5815300000000001</v>
      </c>
      <c r="K95" s="68"/>
    </row>
    <row r="96" spans="1:11" x14ac:dyDescent="0.2">
      <c r="A96" s="59">
        <v>90</v>
      </c>
      <c r="B96" s="20">
        <v>5604</v>
      </c>
      <c r="C96" s="21" t="s">
        <v>724</v>
      </c>
      <c r="D96" s="67">
        <v>4450.9704599999995</v>
      </c>
      <c r="E96" s="67">
        <f t="shared" si="3"/>
        <v>4450.9704599999995</v>
      </c>
      <c r="F96" s="67">
        <v>1239.7129399999999</v>
      </c>
      <c r="G96" s="67">
        <v>18023.217509999999</v>
      </c>
      <c r="H96" s="67">
        <v>27351.55313</v>
      </c>
      <c r="I96" s="67">
        <f t="shared" si="4"/>
        <v>46614.48358</v>
      </c>
      <c r="J96" s="67">
        <f t="shared" si="5"/>
        <v>51065.454039999997</v>
      </c>
      <c r="K96" s="68">
        <v>254.04129</v>
      </c>
    </row>
    <row r="97" spans="1:11" s="36" customFormat="1" ht="15" x14ac:dyDescent="0.25">
      <c r="A97" s="64">
        <v>91</v>
      </c>
      <c r="B97" s="23">
        <v>47</v>
      </c>
      <c r="C97" s="24" t="s">
        <v>725</v>
      </c>
      <c r="D97" s="65">
        <v>20.14143</v>
      </c>
      <c r="E97" s="65">
        <f t="shared" si="3"/>
        <v>20.14143</v>
      </c>
      <c r="F97" s="65">
        <v>393.23259999999999</v>
      </c>
      <c r="G97" s="65">
        <v>6403.1034900000004</v>
      </c>
      <c r="H97" s="65">
        <v>6540.5052100000003</v>
      </c>
      <c r="I97" s="65">
        <f t="shared" si="4"/>
        <v>13336.8413</v>
      </c>
      <c r="J97" s="65">
        <f t="shared" si="5"/>
        <v>13356.98273</v>
      </c>
      <c r="K97" s="66">
        <v>129.50719000000001</v>
      </c>
    </row>
    <row r="98" spans="1:11" x14ac:dyDescent="0.2">
      <c r="A98" s="59">
        <v>92</v>
      </c>
      <c r="B98" s="20">
        <v>4703</v>
      </c>
      <c r="C98" s="21" t="s">
        <v>726</v>
      </c>
      <c r="D98" s="67">
        <v>0.80359999999999998</v>
      </c>
      <c r="E98" s="67">
        <f t="shared" si="3"/>
        <v>0.80359999999999998</v>
      </c>
      <c r="F98" s="67">
        <v>0</v>
      </c>
      <c r="G98" s="67">
        <v>5634.5862200000001</v>
      </c>
      <c r="H98" s="67">
        <v>5001.0145599999996</v>
      </c>
      <c r="I98" s="67">
        <f t="shared" si="4"/>
        <v>10635.600780000001</v>
      </c>
      <c r="J98" s="67">
        <f t="shared" si="5"/>
        <v>10636.40438</v>
      </c>
      <c r="K98" s="68">
        <v>128.57345000000001</v>
      </c>
    </row>
    <row r="99" spans="1:11" x14ac:dyDescent="0.2">
      <c r="A99" s="59">
        <v>93</v>
      </c>
      <c r="B99" s="20">
        <v>4790</v>
      </c>
      <c r="C99" s="21" t="s">
        <v>687</v>
      </c>
      <c r="D99" s="67">
        <v>19.33783</v>
      </c>
      <c r="E99" s="67">
        <f t="shared" si="3"/>
        <v>19.33783</v>
      </c>
      <c r="F99" s="67">
        <v>393.23259999999999</v>
      </c>
      <c r="G99" s="67">
        <v>767.06636000000003</v>
      </c>
      <c r="H99" s="67">
        <v>1049.68723</v>
      </c>
      <c r="I99" s="67">
        <f t="shared" si="4"/>
        <v>2209.9861900000001</v>
      </c>
      <c r="J99" s="67">
        <f t="shared" si="5"/>
        <v>2229.32402</v>
      </c>
      <c r="K99" s="68">
        <v>0.93374000000000001</v>
      </c>
    </row>
    <row r="100" spans="1:11" s="36" customFormat="1" ht="15" x14ac:dyDescent="0.25">
      <c r="A100" s="64">
        <v>94</v>
      </c>
      <c r="B100" s="23"/>
      <c r="C100" s="24" t="s">
        <v>727</v>
      </c>
      <c r="D100" s="65">
        <v>-5417.6589999999997</v>
      </c>
      <c r="E100" s="65">
        <f t="shared" si="3"/>
        <v>-5417.6589999999997</v>
      </c>
      <c r="F100" s="65">
        <v>38184.7552</v>
      </c>
      <c r="G100" s="65">
        <v>-11016.225549999999</v>
      </c>
      <c r="H100" s="65">
        <v>67075.481350000002</v>
      </c>
      <c r="I100" s="65">
        <f t="shared" si="4"/>
        <v>94244.010999999999</v>
      </c>
      <c r="J100" s="65">
        <f t="shared" si="5"/>
        <v>88826.351999999999</v>
      </c>
      <c r="K100" s="66">
        <v>4469.0895899999996</v>
      </c>
    </row>
    <row r="101" spans="1:11" x14ac:dyDescent="0.2">
      <c r="B101" s="20"/>
      <c r="C101" s="21"/>
      <c r="D101" s="67"/>
      <c r="E101" s="67"/>
      <c r="F101" s="67"/>
      <c r="G101" s="67"/>
      <c r="H101" s="67"/>
      <c r="I101" s="67"/>
      <c r="J101" s="67"/>
      <c r="K101" s="68"/>
    </row>
    <row r="102" spans="1:11" s="36" customFormat="1" ht="15" x14ac:dyDescent="0.25">
      <c r="A102" s="64">
        <v>96</v>
      </c>
      <c r="B102" s="23">
        <v>48</v>
      </c>
      <c r="C102" s="24" t="s">
        <v>728</v>
      </c>
      <c r="D102" s="65"/>
      <c r="E102" s="65">
        <f t="shared" si="3"/>
        <v>0</v>
      </c>
      <c r="F102" s="65">
        <v>1909.23776</v>
      </c>
      <c r="G102" s="65"/>
      <c r="H102" s="65">
        <v>0</v>
      </c>
      <c r="I102" s="65">
        <f t="shared" si="4"/>
        <v>1909.23776</v>
      </c>
      <c r="J102" s="65">
        <f t="shared" si="5"/>
        <v>1909.23776</v>
      </c>
      <c r="K102" s="66"/>
    </row>
    <row r="103" spans="1:11" x14ac:dyDescent="0.2">
      <c r="B103" s="20"/>
      <c r="C103" s="21"/>
      <c r="D103" s="67"/>
      <c r="E103" s="67"/>
      <c r="F103" s="67"/>
      <c r="G103" s="67"/>
      <c r="H103" s="67"/>
      <c r="I103" s="67"/>
      <c r="J103" s="67"/>
      <c r="K103" s="68"/>
    </row>
    <row r="104" spans="1:11" s="36" customFormat="1" ht="15" x14ac:dyDescent="0.25">
      <c r="A104" s="64">
        <v>98</v>
      </c>
      <c r="B104" s="23"/>
      <c r="C104" s="24" t="s">
        <v>729</v>
      </c>
      <c r="D104" s="65">
        <v>-5417.6589999999997</v>
      </c>
      <c r="E104" s="65">
        <f t="shared" si="3"/>
        <v>-5417.6589999999997</v>
      </c>
      <c r="F104" s="65">
        <v>36275.517440000003</v>
      </c>
      <c r="G104" s="65">
        <v>-11016.225549999999</v>
      </c>
      <c r="H104" s="65">
        <v>67075.481350000002</v>
      </c>
      <c r="I104" s="65">
        <f t="shared" si="4"/>
        <v>92334.77324000001</v>
      </c>
      <c r="J104" s="65">
        <f t="shared" si="5"/>
        <v>86917.11424000001</v>
      </c>
      <c r="K104" s="66">
        <v>4469.0895899999996</v>
      </c>
    </row>
    <row r="105" spans="1:11" x14ac:dyDescent="0.2">
      <c r="B105" s="25"/>
      <c r="C105" s="26"/>
      <c r="D105" s="26"/>
      <c r="E105" s="26"/>
      <c r="F105" s="26"/>
      <c r="G105" s="26"/>
      <c r="H105" s="26"/>
      <c r="I105" s="26"/>
      <c r="J105" s="69"/>
      <c r="K105" s="70"/>
    </row>
    <row r="106" spans="1:11" x14ac:dyDescent="0.2">
      <c r="B106" s="2" t="s">
        <v>730</v>
      </c>
      <c r="D106" s="71">
        <f>D104-(BALANCE!D843-BALANCE!D619)</f>
        <v>0</v>
      </c>
      <c r="E106" s="71">
        <f>E104-(BALANCE!E843-BALANCE!E619)</f>
        <v>0</v>
      </c>
      <c r="F106" s="71">
        <f>F104-(BALANCE!F843-BALANCE!F619)</f>
        <v>0</v>
      </c>
      <c r="G106" s="71">
        <f>G104-(BALANCE!G843-BALANCE!G619)</f>
        <v>0</v>
      </c>
      <c r="H106" s="71">
        <f>H104-(BALANCE!H843-BALANCE!H619)</f>
        <v>0</v>
      </c>
      <c r="I106" s="71">
        <f>I104-(BALANCE!I843-BALANCE!I619)</f>
        <v>0</v>
      </c>
      <c r="J106" s="71">
        <f>J104-(BALANCE!J843-BALANCE!J619)</f>
        <v>0</v>
      </c>
      <c r="K106" s="71">
        <f>K104-(BALANCE!K843-BALANCE!K619)</f>
        <v>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1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4.25" x14ac:dyDescent="0.2"/>
  <cols>
    <col min="1" max="1" width="6.140625" style="93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72" customFormat="1" x14ac:dyDescent="0.2">
      <c r="A1" s="166"/>
      <c r="B1" s="54"/>
      <c r="C1" s="54"/>
    </row>
    <row r="2" spans="1:11" s="72" customFormat="1" ht="15" x14ac:dyDescent="0.25">
      <c r="A2" s="166"/>
      <c r="B2" s="4" t="s">
        <v>731</v>
      </c>
      <c r="C2" s="54"/>
    </row>
    <row r="3" spans="1:11" s="72" customFormat="1" ht="15" x14ac:dyDescent="0.25">
      <c r="A3" s="166"/>
      <c r="B3" s="4" t="str">
        <f>+BALANCE!B3</f>
        <v>SISTEMA DE BANCA PUBLICA</v>
      </c>
      <c r="C3" s="54"/>
    </row>
    <row r="4" spans="1:11" s="72" customFormat="1" ht="15" x14ac:dyDescent="0.25">
      <c r="A4" s="166"/>
      <c r="B4" s="73">
        <f>BALANCE!B4</f>
        <v>41182</v>
      </c>
      <c r="C4" s="54"/>
    </row>
    <row r="5" spans="1:11" s="72" customFormat="1" ht="15" x14ac:dyDescent="0.25">
      <c r="A5" s="166"/>
      <c r="B5" s="4" t="s">
        <v>2</v>
      </c>
      <c r="C5" s="54"/>
    </row>
    <row r="6" spans="1:11" s="72" customFormat="1" x14ac:dyDescent="0.2">
      <c r="A6" s="166"/>
      <c r="B6" s="54"/>
      <c r="C6" s="54"/>
    </row>
    <row r="7" spans="1:11" s="19" customFormat="1" ht="45" x14ac:dyDescent="0.25">
      <c r="A7" s="167">
        <v>1</v>
      </c>
      <c r="B7" s="16" t="s">
        <v>3</v>
      </c>
      <c r="C7" s="17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58" t="s">
        <v>12</v>
      </c>
    </row>
    <row r="8" spans="1:11" ht="15" x14ac:dyDescent="0.25">
      <c r="A8" s="93">
        <v>2</v>
      </c>
      <c r="B8" s="74"/>
      <c r="C8" s="75" t="s">
        <v>13</v>
      </c>
      <c r="D8" s="76"/>
      <c r="E8" s="76"/>
      <c r="F8" s="76"/>
      <c r="G8" s="76"/>
      <c r="H8" s="76"/>
      <c r="I8" s="76"/>
      <c r="J8" s="76"/>
      <c r="K8" s="77"/>
    </row>
    <row r="9" spans="1:11" x14ac:dyDescent="0.2">
      <c r="A9" s="93">
        <v>3</v>
      </c>
      <c r="B9" s="20">
        <f>+BALANCE!B9</f>
        <v>11</v>
      </c>
      <c r="C9" s="78" t="str">
        <f>+BALANCE!C9</f>
        <v>FONDOS DISPONIBLES</v>
      </c>
      <c r="D9" s="22">
        <f>+BALANCE!D9</f>
        <v>20338.50459</v>
      </c>
      <c r="E9" s="22">
        <f>+BALANCE!E9</f>
        <v>20338.50459</v>
      </c>
      <c r="F9" s="22">
        <f>+BALANCE!F9</f>
        <v>174734.24729999999</v>
      </c>
      <c r="G9" s="22">
        <f>+BALANCE!G9</f>
        <v>131056.78765</v>
      </c>
      <c r="H9" s="22">
        <f>+BALANCE!H9</f>
        <v>28493.401320000001</v>
      </c>
      <c r="I9" s="22">
        <f>+BALANCE!I9</f>
        <v>334284.43627000001</v>
      </c>
      <c r="J9" s="22">
        <f>+BALANCE!J9</f>
        <v>354622.94086000003</v>
      </c>
      <c r="K9" s="79">
        <f>+BALANCE!K9</f>
        <v>122183.12802</v>
      </c>
    </row>
    <row r="10" spans="1:11" x14ac:dyDescent="0.2">
      <c r="A10" s="93">
        <v>4</v>
      </c>
      <c r="B10" s="20">
        <f>+BALANCE!B25</f>
        <v>12</v>
      </c>
      <c r="C10" s="78" t="str">
        <f>+BALANCE!C25</f>
        <v>OPERACIONES INTERBANCARIAS</v>
      </c>
      <c r="D10" s="22">
        <f>+BALANCE!D25</f>
        <v>0</v>
      </c>
      <c r="E10" s="22">
        <f>+BALANCE!E25</f>
        <v>0</v>
      </c>
      <c r="F10" s="22">
        <f>+BALANCE!F25</f>
        <v>0</v>
      </c>
      <c r="G10" s="22">
        <f>+BALANCE!G25</f>
        <v>0</v>
      </c>
      <c r="H10" s="22">
        <f>+BALANCE!H25</f>
        <v>0</v>
      </c>
      <c r="I10" s="22">
        <f>+BALANCE!I25</f>
        <v>0</v>
      </c>
      <c r="J10" s="22">
        <f>+BALANCE!J25</f>
        <v>0</v>
      </c>
      <c r="K10" s="79">
        <f>+BALANCE!K25</f>
        <v>0</v>
      </c>
    </row>
    <row r="11" spans="1:11" x14ac:dyDescent="0.2">
      <c r="A11" s="93">
        <v>5</v>
      </c>
      <c r="B11" s="20">
        <f>+BALANCE!B34</f>
        <v>13</v>
      </c>
      <c r="C11" s="78" t="str">
        <f>+BALANCE!C34</f>
        <v>INVERSIONES</v>
      </c>
      <c r="D11" s="22">
        <f>+BALANCE!D34</f>
        <v>25238.107919999999</v>
      </c>
      <c r="E11" s="22">
        <f>+BALANCE!E34</f>
        <v>25238.107919999999</v>
      </c>
      <c r="F11" s="22">
        <f>+BALANCE!F34</f>
        <v>179922.13545</v>
      </c>
      <c r="G11" s="22">
        <f>+BALANCE!G34</f>
        <v>289925.89643000002</v>
      </c>
      <c r="H11" s="22">
        <f>+BALANCE!H34</f>
        <v>436885.92852999998</v>
      </c>
      <c r="I11" s="22">
        <f>+BALANCE!I34</f>
        <v>906733.96041000006</v>
      </c>
      <c r="J11" s="22">
        <f>+BALANCE!J34</f>
        <v>931972.06833000004</v>
      </c>
      <c r="K11" s="79">
        <f>+BALANCE!K34</f>
        <v>0</v>
      </c>
    </row>
    <row r="12" spans="1:11" x14ac:dyDescent="0.2">
      <c r="A12" s="93">
        <v>6</v>
      </c>
      <c r="B12" s="20"/>
      <c r="C12" s="78" t="s">
        <v>732</v>
      </c>
      <c r="D12" s="22">
        <f>+BALANCE!D35+BALANCE!D47+BALANCE!D59</f>
        <v>20734.451209999999</v>
      </c>
      <c r="E12" s="22">
        <f>+BALANCE!E35+BALANCE!E47+BALANCE!E59</f>
        <v>20734.451209999999</v>
      </c>
      <c r="F12" s="22">
        <f>+BALANCE!F35+BALANCE!F47+BALANCE!F59</f>
        <v>0</v>
      </c>
      <c r="G12" s="22">
        <f>+BALANCE!G35+BALANCE!G47+BALANCE!G59</f>
        <v>58225.52794</v>
      </c>
      <c r="H12" s="22">
        <f>+BALANCE!H35+BALANCE!H47+BALANCE!H59</f>
        <v>214980.00482999999</v>
      </c>
      <c r="I12" s="22">
        <f>+BALANCE!I35+BALANCE!I47+BALANCE!I59</f>
        <v>273205.53276999999</v>
      </c>
      <c r="J12" s="22">
        <f>+BALANCE!J35+BALANCE!J47+BALANCE!J59</f>
        <v>293939.98397999996</v>
      </c>
      <c r="K12" s="79">
        <f>+BALANCE!K35+BALANCE!K47+BALANCE!K59</f>
        <v>0</v>
      </c>
    </row>
    <row r="13" spans="1:11" x14ac:dyDescent="0.2">
      <c r="A13" s="93">
        <v>7</v>
      </c>
      <c r="B13" s="20"/>
      <c r="C13" s="78" t="s">
        <v>733</v>
      </c>
      <c r="D13" s="22">
        <f>+BALANCE!D41+BALANCE!D53+BALANCE!D68</f>
        <v>4504.2066100000002</v>
      </c>
      <c r="E13" s="22">
        <f>+BALANCE!E41+BALANCE!E53+BALANCE!E68</f>
        <v>4504.2066100000002</v>
      </c>
      <c r="F13" s="22">
        <f>+BALANCE!F41+BALANCE!F53+BALANCE!F68</f>
        <v>162422.19167</v>
      </c>
      <c r="G13" s="22">
        <f>+BALANCE!G41+BALANCE!G53+BALANCE!G68</f>
        <v>214249.68096</v>
      </c>
      <c r="H13" s="22">
        <f>+BALANCE!H41+BALANCE!H53+BALANCE!H68</f>
        <v>151308.98392</v>
      </c>
      <c r="I13" s="22">
        <f>+BALANCE!I41+BALANCE!I53+BALANCE!I68</f>
        <v>527980.85655000003</v>
      </c>
      <c r="J13" s="22">
        <f>+BALANCE!J41+BALANCE!J53+BALANCE!J68</f>
        <v>532485.06316000002</v>
      </c>
      <c r="K13" s="79">
        <f>+BALANCE!K41+BALANCE!K53+BALANCE!K68</f>
        <v>0</v>
      </c>
    </row>
    <row r="14" spans="1:11" x14ac:dyDescent="0.2">
      <c r="A14" s="93">
        <v>8</v>
      </c>
      <c r="B14" s="20">
        <f>+BALANCE!B77</f>
        <v>1307</v>
      </c>
      <c r="C14" s="78" t="str">
        <f>+BALANCE!C77</f>
        <v>De disponibilidad restringida</v>
      </c>
      <c r="D14" s="22">
        <f>+BALANCE!D77</f>
        <v>0</v>
      </c>
      <c r="E14" s="22">
        <f>+BALANCE!E77</f>
        <v>0</v>
      </c>
      <c r="F14" s="22">
        <f>+BALANCE!F77</f>
        <v>17499.943780000001</v>
      </c>
      <c r="G14" s="22">
        <f>+BALANCE!G77</f>
        <v>18044.416000000001</v>
      </c>
      <c r="H14" s="22">
        <f>+BALANCE!H77</f>
        <v>70655</v>
      </c>
      <c r="I14" s="22">
        <f>+BALANCE!I77</f>
        <v>106199.35978</v>
      </c>
      <c r="J14" s="22">
        <f>+BALANCE!J77</f>
        <v>106199.35978</v>
      </c>
      <c r="K14" s="79">
        <f>+BALANCE!K77</f>
        <v>0</v>
      </c>
    </row>
    <row r="15" spans="1:11" x14ac:dyDescent="0.2">
      <c r="A15" s="93">
        <v>9</v>
      </c>
      <c r="B15" s="20">
        <f>+BALANCE!B83</f>
        <v>1399</v>
      </c>
      <c r="C15" s="78" t="str">
        <f>+BALANCE!C83</f>
        <v>(Provisión para inversiones)</v>
      </c>
      <c r="D15" s="22">
        <f>+BALANCE!D83</f>
        <v>-0.54990000000000006</v>
      </c>
      <c r="E15" s="22">
        <f>+BALANCE!E83</f>
        <v>-0.54990000000000006</v>
      </c>
      <c r="F15" s="22">
        <f>+BALANCE!F83</f>
        <v>0</v>
      </c>
      <c r="G15" s="22">
        <f>+BALANCE!G83</f>
        <v>-593.72847000000002</v>
      </c>
      <c r="H15" s="22">
        <f>+BALANCE!H83</f>
        <v>-58.060220000000001</v>
      </c>
      <c r="I15" s="22">
        <f>+BALANCE!I83</f>
        <v>-651.78868999999997</v>
      </c>
      <c r="J15" s="22">
        <f>+BALANCE!J83</f>
        <v>-652.33858999999995</v>
      </c>
      <c r="K15" s="79">
        <f>+BALANCE!K83</f>
        <v>0</v>
      </c>
    </row>
    <row r="16" spans="1:11" x14ac:dyDescent="0.2">
      <c r="A16" s="93">
        <v>10</v>
      </c>
      <c r="B16" s="20">
        <f>+BALANCE!B86</f>
        <v>14</v>
      </c>
      <c r="C16" s="78" t="str">
        <f>+BALANCE!C86</f>
        <v>CARTERA DE CREDITOS</v>
      </c>
      <c r="D16" s="22">
        <f>+BALANCE!D86</f>
        <v>171838.32339999999</v>
      </c>
      <c r="E16" s="22">
        <f>+BALANCE!E86</f>
        <v>171838.32339999999</v>
      </c>
      <c r="F16" s="22">
        <f>+BALANCE!F86</f>
        <v>936618.43749000004</v>
      </c>
      <c r="G16" s="22">
        <f>+BALANCE!G86</f>
        <v>818648.83354999998</v>
      </c>
      <c r="H16" s="22">
        <f>+BALANCE!H86</f>
        <v>1121186.24346</v>
      </c>
      <c r="I16" s="22">
        <f>+BALANCE!I86</f>
        <v>2876453.5145</v>
      </c>
      <c r="J16" s="22">
        <f>+BALANCE!J86</f>
        <v>3048291.8379000002</v>
      </c>
      <c r="K16" s="79">
        <f>+BALANCE!K86</f>
        <v>273453.80021999998</v>
      </c>
    </row>
    <row r="17" spans="1:11" x14ac:dyDescent="0.2">
      <c r="A17" s="93">
        <v>11</v>
      </c>
      <c r="B17" s="20"/>
      <c r="C17" s="78" t="s">
        <v>734</v>
      </c>
      <c r="D17" s="22">
        <f>+BALANCE!D87+BALANCE!D123+BALANCE!D159+BALANCE!D195+BALANCE!D231+BALANCE!D267+BALANCE!D303+BALANCE!D340+BALANCE!D377</f>
        <v>171700.30093</v>
      </c>
      <c r="E17" s="22">
        <f>+BALANCE!E87+BALANCE!E123+BALANCE!E159+BALANCE!E195+BALANCE!E231+BALANCE!E267+BALANCE!E303+BALANCE!E340+BALANCE!E377</f>
        <v>171700.30093</v>
      </c>
      <c r="F17" s="22">
        <f>+BALANCE!F87+BALANCE!F123+BALANCE!F159+BALANCE!F195+BALANCE!F231+BALANCE!F267+BALANCE!F303+BALANCE!F340+BALANCE!F377</f>
        <v>0</v>
      </c>
      <c r="G17" s="22">
        <f>+BALANCE!G87+BALANCE!G123+BALANCE!G159+BALANCE!G195+BALANCE!G231+BALANCE!G267+BALANCE!G303+BALANCE!G340+BALANCE!G377</f>
        <v>625097.69367999991</v>
      </c>
      <c r="H17" s="22">
        <f>+BALANCE!H87+BALANCE!H123+BALANCE!H159+BALANCE!H195+BALANCE!H231+BALANCE!H267+BALANCE!H303+BALANCE!H340+BALANCE!H377</f>
        <v>1164380.4210299999</v>
      </c>
      <c r="I17" s="22">
        <f>+BALANCE!I87+BALANCE!I123+BALANCE!I159+BALANCE!I195+BALANCE!I231+BALANCE!I267+BALANCE!I303+BALANCE!I340+BALANCE!I377</f>
        <v>1789478.1147100001</v>
      </c>
      <c r="J17" s="22">
        <f>+BALANCE!J87+BALANCE!J123+BALANCE!J159+BALANCE!J195+BALANCE!J231+BALANCE!J267+BALANCE!J303+BALANCE!J340+BALANCE!J377</f>
        <v>1961178.4156400003</v>
      </c>
      <c r="K17" s="79">
        <f>+BALANCE!K87+BALANCE!K123+BALANCE!K159+BALANCE!K195+BALANCE!K231+BALANCE!K267+BALANCE!K303+BALANCE!K340+BALANCE!K377</f>
        <v>0</v>
      </c>
    </row>
    <row r="18" spans="1:11" x14ac:dyDescent="0.2">
      <c r="A18" s="93">
        <v>12</v>
      </c>
      <c r="B18" s="20"/>
      <c r="C18" s="78" t="s">
        <v>735</v>
      </c>
      <c r="D18" s="22">
        <f>+BALANCE!D93+BALANCE!D129+BALANCE!D165+BALANCE!D201+BALANCE!D237+BALANCE!D273+BALANCE!D309+BALANCE!D346+BALANCE!D383</f>
        <v>0</v>
      </c>
      <c r="E18" s="22">
        <f>+BALANCE!E93+BALANCE!E129+BALANCE!E165+BALANCE!E201+BALANCE!E237+BALANCE!E273+BALANCE!E309+BALANCE!E346+BALANCE!E383</f>
        <v>0</v>
      </c>
      <c r="F18" s="22">
        <f>+BALANCE!F93+BALANCE!F129+BALANCE!F165+BALANCE!F201+BALANCE!F237+BALANCE!F273+BALANCE!F309+BALANCE!F346+BALANCE!F383</f>
        <v>0</v>
      </c>
      <c r="G18" s="22">
        <f>+BALANCE!G93+BALANCE!G129+BALANCE!G165+BALANCE!G201+BALANCE!G237+BALANCE!G273+BALANCE!G309+BALANCE!G346+BALANCE!G383</f>
        <v>32617.298760000001</v>
      </c>
      <c r="H18" s="22">
        <f>+BALANCE!H93+BALANCE!H129+BALANCE!H165+BALANCE!H201+BALANCE!H237+BALANCE!H273+BALANCE!H309+BALANCE!H346+BALANCE!H383</f>
        <v>0</v>
      </c>
      <c r="I18" s="22">
        <f>+BALANCE!I93+BALANCE!I129+BALANCE!I165+BALANCE!I201+BALANCE!I237+BALANCE!I273+BALANCE!I309+BALANCE!I346+BALANCE!I383</f>
        <v>32617.298760000001</v>
      </c>
      <c r="J18" s="22">
        <f>+BALANCE!J93+BALANCE!J129+BALANCE!J165+BALANCE!J201+BALANCE!J237+BALANCE!J273+BALANCE!J309+BALANCE!J346+BALANCE!J383</f>
        <v>32617.298760000001</v>
      </c>
      <c r="K18" s="79">
        <f>+BALANCE!K93+BALANCE!K129+BALANCE!K165+BALANCE!K201+BALANCE!K237+BALANCE!K273+BALANCE!K309+BALANCE!K346+BALANCE!K383</f>
        <v>0</v>
      </c>
    </row>
    <row r="19" spans="1:11" x14ac:dyDescent="0.2">
      <c r="A19" s="93">
        <v>13</v>
      </c>
      <c r="B19" s="20"/>
      <c r="C19" s="78" t="s">
        <v>736</v>
      </c>
      <c r="D19" s="22">
        <f>+BALANCE!D99+BALANCE!D135+BALANCE!D171+BALANCE!D207+BALANCE!D243+BALANCE!D279+BALANCE!D315+BALANCE!D352+BALANCE!D389</f>
        <v>16697.389759999998</v>
      </c>
      <c r="E19" s="22">
        <f>+BALANCE!E99+BALANCE!E135+BALANCE!E171+BALANCE!E207+BALANCE!E243+BALANCE!E279+BALANCE!E315+BALANCE!E352+BALANCE!E389</f>
        <v>16697.389759999998</v>
      </c>
      <c r="F19" s="22">
        <f>+BALANCE!F99+BALANCE!F135+BALANCE!F171+BALANCE!F207+BALANCE!F243+BALANCE!F279+BALANCE!F315+BALANCE!F352+BALANCE!F389</f>
        <v>0</v>
      </c>
      <c r="G19" s="22">
        <f>+BALANCE!G99+BALANCE!G135+BALANCE!G171+BALANCE!G207+BALANCE!G243+BALANCE!G279+BALANCE!G315+BALANCE!G352+BALANCE!G389</f>
        <v>0</v>
      </c>
      <c r="H19" s="22">
        <f>+BALANCE!H99+BALANCE!H135+BALANCE!H171+BALANCE!H207+BALANCE!H243+BALANCE!H279+BALANCE!H315+BALANCE!H352+BALANCE!H389</f>
        <v>0</v>
      </c>
      <c r="I19" s="22">
        <f>+BALANCE!I99+BALANCE!I135+BALANCE!I171+BALANCE!I207+BALANCE!I243+BALANCE!I279+BALANCE!I315+BALANCE!I352+BALANCE!I389</f>
        <v>0</v>
      </c>
      <c r="J19" s="22">
        <f>+BALANCE!J99+BALANCE!J135+BALANCE!J171+BALANCE!J207+BALANCE!J243+BALANCE!J279+BALANCE!J315+BALANCE!J352+BALANCE!J389</f>
        <v>16697.389759999998</v>
      </c>
      <c r="K19" s="79">
        <f>+BALANCE!K99+BALANCE!K135+BALANCE!K171+BALANCE!K207+BALANCE!K243+BALANCE!K279+BALANCE!K315+BALANCE!K352+BALANCE!K389</f>
        <v>0</v>
      </c>
    </row>
    <row r="20" spans="1:11" x14ac:dyDescent="0.2">
      <c r="A20" s="93">
        <v>14</v>
      </c>
      <c r="B20" s="20"/>
      <c r="C20" s="78" t="s">
        <v>737</v>
      </c>
      <c r="D20" s="22">
        <f>+BALANCE!D105+BALANCE!D141+BALANCE!D177+BALANCE!D213+BALANCE!D249+BALANCE!D285+BALANCE!D322+BALANCE!D359+BALANCE!D396</f>
        <v>0</v>
      </c>
      <c r="E20" s="22">
        <f>+BALANCE!E105+BALANCE!E141+BALANCE!E177+BALANCE!E213+BALANCE!E249+BALANCE!E285+BALANCE!E322+BALANCE!E359+BALANCE!E396</f>
        <v>0</v>
      </c>
      <c r="F20" s="22">
        <f>+BALANCE!F105+BALANCE!F141+BALANCE!F177+BALANCE!F213+BALANCE!F249+BALANCE!F285+BALANCE!F322+BALANCE!F359+BALANCE!F396</f>
        <v>0</v>
      </c>
      <c r="G20" s="22">
        <f>+BALANCE!G105+BALANCE!G141+BALANCE!G177+BALANCE!G213+BALANCE!G249+BALANCE!G285+BALANCE!G322+BALANCE!G359+BALANCE!G396</f>
        <v>266813.23603000003</v>
      </c>
      <c r="H20" s="22">
        <f>+BALANCE!H105+BALANCE!H141+BALANCE!H177+BALANCE!H213+BALANCE!H249+BALANCE!H285+BALANCE!H322+BALANCE!H359+BALANCE!H396</f>
        <v>31445.38292</v>
      </c>
      <c r="I20" s="22">
        <f>+BALANCE!I105+BALANCE!I141+BALANCE!I177+BALANCE!I213+BALANCE!I249+BALANCE!I285+BALANCE!I322+BALANCE!I359+BALANCE!I396</f>
        <v>298258.61895000003</v>
      </c>
      <c r="J20" s="22">
        <f>+BALANCE!J105+BALANCE!J141+BALANCE!J177+BALANCE!J213+BALANCE!J249+BALANCE!J285+BALANCE!J322+BALANCE!J359+BALANCE!J396</f>
        <v>298258.61895000003</v>
      </c>
      <c r="K20" s="79">
        <f>+BALANCE!K105+BALANCE!K141+BALANCE!K177+BALANCE!K213+BALANCE!K249+BALANCE!K285+BALANCE!K322+BALANCE!K359+BALANCE!K396</f>
        <v>0</v>
      </c>
    </row>
    <row r="21" spans="1:11" x14ac:dyDescent="0.2">
      <c r="A21" s="93">
        <v>15</v>
      </c>
      <c r="B21" s="20"/>
      <c r="C21" s="78" t="s">
        <v>738</v>
      </c>
      <c r="D21" s="22">
        <f>+BALANCE!D111+BALANCE!D147+BALANCE!D183+BALANCE!D219+BALANCE!D255+BALANCE!D291+BALANCE!D328+BALANCE!D365+BALANCE!D402</f>
        <v>0</v>
      </c>
      <c r="E21" s="22">
        <f>+BALANCE!E111+BALANCE!E147+BALANCE!E183+BALANCE!E219+BALANCE!E255+BALANCE!E291+BALANCE!E328+BALANCE!E365+BALANCE!E402</f>
        <v>0</v>
      </c>
      <c r="F21" s="22">
        <f>+BALANCE!F111+BALANCE!F147+BALANCE!F183+BALANCE!F219+BALANCE!F255+BALANCE!F291+BALANCE!F328+BALANCE!F365+BALANCE!F402</f>
        <v>0</v>
      </c>
      <c r="G21" s="22">
        <f>+BALANCE!G111+BALANCE!G147+BALANCE!G183+BALANCE!G219+BALANCE!G255+BALANCE!G291+BALANCE!G328+BALANCE!G365+BALANCE!G402</f>
        <v>0</v>
      </c>
      <c r="H21" s="22">
        <f>+BALANCE!H111+BALANCE!H147+BALANCE!H183+BALANCE!H219+BALANCE!H255+BALANCE!H291+BALANCE!H328+BALANCE!H365+BALANCE!H402</f>
        <v>0</v>
      </c>
      <c r="I21" s="22">
        <f>+BALANCE!I111+BALANCE!I147+BALANCE!I183+BALANCE!I219+BALANCE!I255+BALANCE!I291+BALANCE!I328+BALANCE!I365+BALANCE!I402</f>
        <v>0</v>
      </c>
      <c r="J21" s="22">
        <f>+BALANCE!J111+BALANCE!J147+BALANCE!J183+BALANCE!J219+BALANCE!J255+BALANCE!J291+BALANCE!J328+BALANCE!J365+BALANCE!J402</f>
        <v>0</v>
      </c>
      <c r="K21" s="79">
        <f>+BALANCE!K111+BALANCE!K147+BALANCE!K183+BALANCE!K219+BALANCE!K255+BALANCE!K291+BALANCE!K328+BALANCE!K365+BALANCE!K402</f>
        <v>287959.18815</v>
      </c>
    </row>
    <row r="22" spans="1:11" x14ac:dyDescent="0.2">
      <c r="A22" s="93">
        <v>16</v>
      </c>
      <c r="B22" s="20"/>
      <c r="C22" s="78" t="s">
        <v>739</v>
      </c>
      <c r="D22" s="22">
        <f>+BALANCE!D117+BALANCE!D153+BALANCE!D189+BALANCE!D225+BALANCE!D255+BALANCE!D297+BALANCE!D334+BALANCE!D371+BALANCE!D408</f>
        <v>0</v>
      </c>
      <c r="E22" s="22">
        <f>+BALANCE!E117+BALANCE!E153+BALANCE!E189+BALANCE!E225+BALANCE!E255+BALANCE!E297+BALANCE!E334+BALANCE!E371+BALANCE!E408</f>
        <v>0</v>
      </c>
      <c r="F22" s="22">
        <f>+BALANCE!F117+BALANCE!F153+BALANCE!F189+BALANCE!F225+BALANCE!F255+BALANCE!F297+BALANCE!F334+BALANCE!F371+BALANCE!F408</f>
        <v>947796.17175999994</v>
      </c>
      <c r="G22" s="22">
        <f>+BALANCE!G117+BALANCE!G153+BALANCE!G189+BALANCE!G225+BALANCE!G255+BALANCE!G297+BALANCE!G334+BALANCE!G371+BALANCE!G408</f>
        <v>0</v>
      </c>
      <c r="H22" s="22">
        <f>+BALANCE!H117+BALANCE!H153+BALANCE!H189+BALANCE!H225+BALANCE!H255+BALANCE!H297+BALANCE!H334+BALANCE!H371+BALANCE!H408</f>
        <v>0</v>
      </c>
      <c r="I22" s="22">
        <f>+BALANCE!I117+BALANCE!I153+BALANCE!I189+BALANCE!I225+BALANCE!I255+BALANCE!I297+BALANCE!I334+BALANCE!I371+BALANCE!I408</f>
        <v>947796.17175999994</v>
      </c>
      <c r="J22" s="22">
        <f>+BALANCE!J117+BALANCE!J153+BALANCE!J189+BALANCE!J225+BALANCE!J255+BALANCE!J297+BALANCE!J334+BALANCE!J371+BALANCE!J408</f>
        <v>947796.17175999994</v>
      </c>
      <c r="K22" s="79">
        <f>+BALANCE!K117+BALANCE!K153+BALANCE!K189+BALANCE!K225+BALANCE!K255+BALANCE!K297+BALANCE!K334+BALANCE!K371+BALANCE!K408</f>
        <v>0</v>
      </c>
    </row>
    <row r="23" spans="1:11" x14ac:dyDescent="0.2">
      <c r="A23" s="93">
        <v>17</v>
      </c>
      <c r="B23" s="20">
        <f>+BALANCE!B414</f>
        <v>1499</v>
      </c>
      <c r="C23" s="78" t="str">
        <f>+BALANCE!C414</f>
        <v>(Provisiones para créditos incobrables)</v>
      </c>
      <c r="D23" s="22">
        <f>+BALANCE!D414</f>
        <v>-16559.367289999998</v>
      </c>
      <c r="E23" s="22">
        <f>+BALANCE!E414</f>
        <v>-16559.367289999998</v>
      </c>
      <c r="F23" s="22">
        <f>+BALANCE!F414</f>
        <v>-11177.734270000001</v>
      </c>
      <c r="G23" s="22">
        <f>+BALANCE!G414</f>
        <v>-105879.39492000001</v>
      </c>
      <c r="H23" s="22">
        <f>+BALANCE!H414</f>
        <v>-74639.560490000003</v>
      </c>
      <c r="I23" s="22">
        <f>+BALANCE!I414</f>
        <v>-191696.68968000001</v>
      </c>
      <c r="J23" s="22">
        <f>+BALANCE!J414</f>
        <v>-208256.05697000001</v>
      </c>
      <c r="K23" s="79">
        <f>+BALANCE!K414</f>
        <v>-14505.387930000001</v>
      </c>
    </row>
    <row r="24" spans="1:11" x14ac:dyDescent="0.2">
      <c r="A24" s="93">
        <v>18</v>
      </c>
      <c r="B24" s="20">
        <f>+BALANCE!B415</f>
        <v>149905</v>
      </c>
      <c r="C24" s="78" t="str">
        <f>+BALANCE!C415</f>
        <v>(Cartera de créditos comercial)</v>
      </c>
      <c r="D24" s="22">
        <f>+BALANCE!D415</f>
        <v>-13181.531720000001</v>
      </c>
      <c r="E24" s="22">
        <f>+BALANCE!E415</f>
        <v>-13181.531720000001</v>
      </c>
      <c r="F24" s="22">
        <f>+BALANCE!F415</f>
        <v>0</v>
      </c>
      <c r="G24" s="22">
        <f>+BALANCE!G415</f>
        <v>-63372.349589999998</v>
      </c>
      <c r="H24" s="22">
        <f>+BALANCE!H415</f>
        <v>-45875.117859999998</v>
      </c>
      <c r="I24" s="22">
        <f>+BALANCE!I415</f>
        <v>-109247.46745</v>
      </c>
      <c r="J24" s="22">
        <f>+BALANCE!J415</f>
        <v>-122428.99917</v>
      </c>
      <c r="K24" s="79">
        <f>+BALANCE!K415</f>
        <v>0</v>
      </c>
    </row>
    <row r="25" spans="1:11" x14ac:dyDescent="0.2">
      <c r="A25" s="93">
        <v>19</v>
      </c>
      <c r="B25" s="20">
        <f>+BALANCE!B416</f>
        <v>149910</v>
      </c>
      <c r="C25" s="78" t="str">
        <f>+BALANCE!C416</f>
        <v>(Cartera de créditos de consumo)</v>
      </c>
      <c r="D25" s="22">
        <f>+BALANCE!D416</f>
        <v>0</v>
      </c>
      <c r="E25" s="22">
        <f>+BALANCE!E416</f>
        <v>0</v>
      </c>
      <c r="F25" s="22">
        <f>+BALANCE!F416</f>
        <v>0</v>
      </c>
      <c r="G25" s="22">
        <f>+BALANCE!G416</f>
        <v>-3126.5360900000001</v>
      </c>
      <c r="H25" s="22">
        <f>+BALANCE!H416</f>
        <v>0</v>
      </c>
      <c r="I25" s="22">
        <f>+BALANCE!I416</f>
        <v>-3126.5360900000001</v>
      </c>
      <c r="J25" s="22">
        <f>+BALANCE!J416</f>
        <v>-3126.5360900000001</v>
      </c>
      <c r="K25" s="79">
        <f>+BALANCE!K416</f>
        <v>0</v>
      </c>
    </row>
    <row r="26" spans="1:11" x14ac:dyDescent="0.2">
      <c r="A26" s="93">
        <v>20</v>
      </c>
      <c r="B26" s="20">
        <f>+BALANCE!B417</f>
        <v>149915</v>
      </c>
      <c r="C26" s="78" t="str">
        <f>+BALANCE!C417</f>
        <v>(Cartera de créditos de vivienda)</v>
      </c>
      <c r="D26" s="22">
        <f>+BALANCE!D417</f>
        <v>-428.48183</v>
      </c>
      <c r="E26" s="22">
        <f>+BALANCE!E417</f>
        <v>-428.48183</v>
      </c>
      <c r="F26" s="22">
        <f>+BALANCE!F417</f>
        <v>0</v>
      </c>
      <c r="G26" s="22">
        <f>+BALANCE!G417</f>
        <v>0</v>
      </c>
      <c r="H26" s="22">
        <f>+BALANCE!H417</f>
        <v>0</v>
      </c>
      <c r="I26" s="22">
        <f>+BALANCE!I417</f>
        <v>0</v>
      </c>
      <c r="J26" s="22">
        <f>+BALANCE!J417</f>
        <v>-428.48183</v>
      </c>
      <c r="K26" s="79">
        <f>+BALANCE!K417</f>
        <v>0</v>
      </c>
    </row>
    <row r="27" spans="1:11" x14ac:dyDescent="0.2">
      <c r="A27" s="93">
        <v>21</v>
      </c>
      <c r="B27" s="20">
        <f>+BALANCE!B418</f>
        <v>149920</v>
      </c>
      <c r="C27" s="78" t="str">
        <f>+BALANCE!C418</f>
        <v>(Cartera de créditos para la microempresa)</v>
      </c>
      <c r="D27" s="22">
        <f>+BALANCE!D418</f>
        <v>0</v>
      </c>
      <c r="E27" s="22">
        <f>+BALANCE!E418</f>
        <v>0</v>
      </c>
      <c r="F27" s="22">
        <f>+BALANCE!F418</f>
        <v>0</v>
      </c>
      <c r="G27" s="22">
        <f>+BALANCE!G418</f>
        <v>-8710.1586900000002</v>
      </c>
      <c r="H27" s="22">
        <f>+BALANCE!H418</f>
        <v>-1245.7939899999999</v>
      </c>
      <c r="I27" s="22">
        <f>+BALANCE!I418</f>
        <v>-9955.9526800000003</v>
      </c>
      <c r="J27" s="22">
        <f>+BALANCE!J418</f>
        <v>-9955.9526800000003</v>
      </c>
      <c r="K27" s="79">
        <f>+BALANCE!K418</f>
        <v>0</v>
      </c>
    </row>
    <row r="28" spans="1:11" x14ac:dyDescent="0.2">
      <c r="A28" s="93">
        <v>22</v>
      </c>
      <c r="B28" s="20">
        <f>+BALANCE!B419</f>
        <v>149925</v>
      </c>
      <c r="C28" s="78" t="str">
        <f>+BALANCE!C419</f>
        <v>(Cartera de crédito educativo)</v>
      </c>
      <c r="D28" s="22">
        <f>+BALANCE!D419</f>
        <v>0</v>
      </c>
      <c r="E28" s="22">
        <f>+BALANCE!E419</f>
        <v>0</v>
      </c>
      <c r="F28" s="22">
        <f>+BALANCE!F419</f>
        <v>0</v>
      </c>
      <c r="G28" s="22">
        <f>+BALANCE!G419</f>
        <v>0</v>
      </c>
      <c r="H28" s="22">
        <f>+BALANCE!H419</f>
        <v>0</v>
      </c>
      <c r="I28" s="22">
        <f>+BALANCE!I419</f>
        <v>0</v>
      </c>
      <c r="J28" s="22">
        <f>+BALANCE!J419</f>
        <v>0</v>
      </c>
      <c r="K28" s="79">
        <f>+BALANCE!K419</f>
        <v>-10026.98093</v>
      </c>
    </row>
    <row r="29" spans="1:11" x14ac:dyDescent="0.2">
      <c r="A29" s="93">
        <v>23</v>
      </c>
      <c r="B29" s="20">
        <f>+BALANCE!B420</f>
        <v>149930</v>
      </c>
      <c r="C29" s="78" t="str">
        <f>+BALANCE!C420</f>
        <v>(Cartera de créditos de inversión pública)</v>
      </c>
      <c r="D29" s="22">
        <f>+BALANCE!D420</f>
        <v>0</v>
      </c>
      <c r="E29" s="22">
        <f>+BALANCE!E420</f>
        <v>0</v>
      </c>
      <c r="F29" s="22">
        <f>+BALANCE!F420</f>
        <v>-9485.7468100000006</v>
      </c>
      <c r="G29" s="22">
        <f>+BALANCE!G420</f>
        <v>0</v>
      </c>
      <c r="H29" s="22">
        <f>+BALANCE!H420</f>
        <v>0</v>
      </c>
      <c r="I29" s="22">
        <f>+BALANCE!I420</f>
        <v>-9485.7468100000006</v>
      </c>
      <c r="J29" s="22">
        <f>+BALANCE!J420</f>
        <v>-9485.7468100000006</v>
      </c>
      <c r="K29" s="79">
        <f>+BALANCE!K420</f>
        <v>0</v>
      </c>
    </row>
    <row r="30" spans="1:11" x14ac:dyDescent="0.2">
      <c r="A30" s="93">
        <v>24</v>
      </c>
      <c r="B30" s="20">
        <f>+BALANCE!B421</f>
        <v>149945</v>
      </c>
      <c r="C30" s="78" t="str">
        <f>+BALANCE!C421</f>
        <v>(Cartera de créditos refinanciada)</v>
      </c>
      <c r="D30" s="22">
        <f>+BALANCE!D421</f>
        <v>-7.5570599999999999</v>
      </c>
      <c r="E30" s="22">
        <f>+BALANCE!E421</f>
        <v>-7.5570599999999999</v>
      </c>
      <c r="F30" s="22">
        <f>+BALANCE!F421</f>
        <v>0</v>
      </c>
      <c r="G30" s="22">
        <f>+BALANCE!G421</f>
        <v>0</v>
      </c>
      <c r="H30" s="22">
        <f>+BALANCE!H421</f>
        <v>0</v>
      </c>
      <c r="I30" s="22">
        <f>+BALANCE!I421</f>
        <v>0</v>
      </c>
      <c r="J30" s="22">
        <f>+BALANCE!J421</f>
        <v>-7.5570599999999999</v>
      </c>
      <c r="K30" s="79">
        <f>+BALANCE!K421</f>
        <v>0</v>
      </c>
    </row>
    <row r="31" spans="1:11" x14ac:dyDescent="0.2">
      <c r="A31" s="93">
        <v>25</v>
      </c>
      <c r="B31" s="20">
        <f>+BALANCE!B422</f>
        <v>149950</v>
      </c>
      <c r="C31" s="78" t="str">
        <f>+BALANCE!C422</f>
        <v>(Cartera de créditos reestructurada)</v>
      </c>
      <c r="D31" s="22">
        <f>+BALANCE!D422</f>
        <v>-626.38383999999996</v>
      </c>
      <c r="E31" s="22">
        <f>+BALANCE!E422</f>
        <v>-626.38383999999996</v>
      </c>
      <c r="F31" s="22">
        <f>+BALANCE!F422</f>
        <v>0</v>
      </c>
      <c r="G31" s="22">
        <f>+BALANCE!G422</f>
        <v>-30670.350549999999</v>
      </c>
      <c r="H31" s="22">
        <f>+BALANCE!H422</f>
        <v>-1544.4836700000001</v>
      </c>
      <c r="I31" s="22">
        <f>+BALANCE!I422</f>
        <v>-32214.834220000001</v>
      </c>
      <c r="J31" s="22">
        <f>+BALANCE!J422</f>
        <v>-32841.218059999999</v>
      </c>
      <c r="K31" s="79">
        <f>+BALANCE!K422</f>
        <v>0</v>
      </c>
    </row>
    <row r="32" spans="1:11" x14ac:dyDescent="0.2">
      <c r="A32" s="93">
        <v>26</v>
      </c>
      <c r="B32" s="20">
        <f>+BALANCE!B423</f>
        <v>149990</v>
      </c>
      <c r="C32" s="78" t="str">
        <f>+BALANCE!C423</f>
        <v>(Provisión general para cartera de créditos)</v>
      </c>
      <c r="D32" s="22">
        <f>+BALANCE!D423</f>
        <v>-2315.41284</v>
      </c>
      <c r="E32" s="22">
        <f>+BALANCE!E423</f>
        <v>-2315.41284</v>
      </c>
      <c r="F32" s="22">
        <f>+BALANCE!F423</f>
        <v>-1691.9874600000001</v>
      </c>
      <c r="G32" s="22">
        <f>+BALANCE!G423</f>
        <v>0</v>
      </c>
      <c r="H32" s="22">
        <f>+BALANCE!H423</f>
        <v>-25974.164970000002</v>
      </c>
      <c r="I32" s="22">
        <f>+BALANCE!I423</f>
        <v>-27666.152430000002</v>
      </c>
      <c r="J32" s="22">
        <f>+BALANCE!J423</f>
        <v>-29981.565270000003</v>
      </c>
      <c r="K32" s="79">
        <f>+BALANCE!K423</f>
        <v>-4478.4070000000002</v>
      </c>
    </row>
    <row r="33" spans="1:11" x14ac:dyDescent="0.2">
      <c r="A33" s="93">
        <v>27</v>
      </c>
      <c r="B33" s="20">
        <f>+BALANCE!B424</f>
        <v>15</v>
      </c>
      <c r="C33" s="78" t="str">
        <f>+BALANCE!C424</f>
        <v>DEUDORES POR ACEPTACIONES</v>
      </c>
      <c r="D33" s="22">
        <f>+BALANCE!D424</f>
        <v>0</v>
      </c>
      <c r="E33" s="22">
        <f>+BALANCE!E424</f>
        <v>0</v>
      </c>
      <c r="F33" s="22">
        <f>+BALANCE!F424</f>
        <v>0</v>
      </c>
      <c r="G33" s="22">
        <f>+BALANCE!G424</f>
        <v>0</v>
      </c>
      <c r="H33" s="22">
        <f>+BALANCE!H424</f>
        <v>0</v>
      </c>
      <c r="I33" s="22">
        <f>+BALANCE!I424</f>
        <v>0</v>
      </c>
      <c r="J33" s="22">
        <f>+BALANCE!J424</f>
        <v>0</v>
      </c>
      <c r="K33" s="79">
        <f>+BALANCE!K424</f>
        <v>0</v>
      </c>
    </row>
    <row r="34" spans="1:11" x14ac:dyDescent="0.2">
      <c r="A34" s="93">
        <v>28</v>
      </c>
      <c r="B34" s="20">
        <f>+BALANCE!B427</f>
        <v>16</v>
      </c>
      <c r="C34" s="78" t="str">
        <f>+BALANCE!C427</f>
        <v>CUENTAS POR COBRAR</v>
      </c>
      <c r="D34" s="22">
        <f>+BALANCE!D427</f>
        <v>3355.36913</v>
      </c>
      <c r="E34" s="22">
        <f>+BALANCE!E427</f>
        <v>3355.36913</v>
      </c>
      <c r="F34" s="22">
        <f>+BALANCE!F427</f>
        <v>72344.741649999996</v>
      </c>
      <c r="G34" s="22">
        <f>+BALANCE!G427</f>
        <v>203581.0502</v>
      </c>
      <c r="H34" s="22">
        <f>+BALANCE!H427</f>
        <v>82129.793619999997</v>
      </c>
      <c r="I34" s="22">
        <f>+BALANCE!I427</f>
        <v>358055.58546999999</v>
      </c>
      <c r="J34" s="22">
        <f>+BALANCE!J427</f>
        <v>361410.9546</v>
      </c>
      <c r="K34" s="79">
        <f>+BALANCE!K427</f>
        <v>2569.4989300000002</v>
      </c>
    </row>
    <row r="35" spans="1:11" x14ac:dyDescent="0.2">
      <c r="A35" s="93">
        <v>29</v>
      </c>
      <c r="B35" s="20">
        <f>+BALANCE!B485</f>
        <v>17</v>
      </c>
      <c r="C35" s="78" t="str">
        <f>+BALANCE!C485</f>
        <v>BIENES REALIZABLES, ADJUDICADOS POR PAGO, DE ARRENDAMIENTO MERCANTIL Y NO UTILIZADOS POR LA INSTITUCION</v>
      </c>
      <c r="D35" s="22">
        <f>+BALANCE!D485</f>
        <v>23015.34547</v>
      </c>
      <c r="E35" s="22">
        <f>+BALANCE!E485</f>
        <v>23015.34547</v>
      </c>
      <c r="F35" s="22">
        <f>+BALANCE!F485</f>
        <v>6706.2979800000003</v>
      </c>
      <c r="G35" s="22">
        <f>+BALANCE!G485</f>
        <v>2139.7321299999999</v>
      </c>
      <c r="H35" s="22">
        <f>+BALANCE!H485</f>
        <v>10645.76331</v>
      </c>
      <c r="I35" s="22">
        <f>+BALANCE!I485</f>
        <v>19491.793420000002</v>
      </c>
      <c r="J35" s="22">
        <f>+BALANCE!J485</f>
        <v>42507.138890000002</v>
      </c>
      <c r="K35" s="79">
        <f>+BALANCE!K485</f>
        <v>0</v>
      </c>
    </row>
    <row r="36" spans="1:11" x14ac:dyDescent="0.2">
      <c r="A36" s="93">
        <v>30</v>
      </c>
      <c r="B36" s="20">
        <f>+BALANCE!B534</f>
        <v>18</v>
      </c>
      <c r="C36" s="78" t="str">
        <f>+BALANCE!C534</f>
        <v>PROPIEDADES Y EQUIPO</v>
      </c>
      <c r="D36" s="22">
        <f>+BALANCE!D534</f>
        <v>7079.7335199999998</v>
      </c>
      <c r="E36" s="22">
        <f>+BALANCE!E534</f>
        <v>7079.7335199999998</v>
      </c>
      <c r="F36" s="22">
        <f>+BALANCE!F534</f>
        <v>5522.7246299999997</v>
      </c>
      <c r="G36" s="22">
        <f>+BALANCE!G534</f>
        <v>28830.328750000001</v>
      </c>
      <c r="H36" s="22">
        <f>+BALANCE!H534</f>
        <v>37892.1008</v>
      </c>
      <c r="I36" s="22">
        <f>+BALANCE!I534</f>
        <v>72245.154179999998</v>
      </c>
      <c r="J36" s="22">
        <f>+BALANCE!J534</f>
        <v>79324.887699999992</v>
      </c>
      <c r="K36" s="79">
        <f>+BALANCE!K534</f>
        <v>7496.7115000000003</v>
      </c>
    </row>
    <row r="37" spans="1:11" x14ac:dyDescent="0.2">
      <c r="A37" s="93">
        <v>31</v>
      </c>
      <c r="B37" s="20">
        <f>+BALANCE!B554</f>
        <v>19</v>
      </c>
      <c r="C37" s="78" t="str">
        <f>+BALANCE!C554</f>
        <v>OTROS ACTIVOS</v>
      </c>
      <c r="D37" s="22">
        <f>+BALANCE!D554</f>
        <v>9265.2750500000002</v>
      </c>
      <c r="E37" s="22">
        <f>+BALANCE!E554</f>
        <v>9265.2750500000002</v>
      </c>
      <c r="F37" s="22">
        <f>+BALANCE!F554</f>
        <v>1472.52575</v>
      </c>
      <c r="G37" s="22">
        <f>+BALANCE!G554</f>
        <v>40349.771370000002</v>
      </c>
      <c r="H37" s="22">
        <f>+BALANCE!H554</f>
        <v>510379.31440999999</v>
      </c>
      <c r="I37" s="22">
        <f>+BALANCE!I554</f>
        <v>552201.61152999999</v>
      </c>
      <c r="J37" s="22">
        <f>+BALANCE!J554</f>
        <v>561466.88658000005</v>
      </c>
      <c r="K37" s="79">
        <f>+BALANCE!K554</f>
        <v>2628.0649899999999</v>
      </c>
    </row>
    <row r="38" spans="1:11" ht="15" x14ac:dyDescent="0.25">
      <c r="A38" s="93">
        <v>32</v>
      </c>
      <c r="B38" s="20"/>
      <c r="C38" s="80" t="str">
        <f>BALANCE!C617</f>
        <v>TOTAL ACTIVO</v>
      </c>
      <c r="D38" s="81">
        <f>BALANCE!D617</f>
        <v>260130.65908000001</v>
      </c>
      <c r="E38" s="81">
        <f>BALANCE!E617</f>
        <v>260130.65908000001</v>
      </c>
      <c r="F38" s="81">
        <f>BALANCE!F617</f>
        <v>1377321.1102499999</v>
      </c>
      <c r="G38" s="81">
        <f>BALANCE!G617</f>
        <v>1514532.4000800001</v>
      </c>
      <c r="H38" s="81">
        <f>BALANCE!H617</f>
        <v>2227612.5454500001</v>
      </c>
      <c r="I38" s="81">
        <f>BALANCE!I617</f>
        <v>5119466.0557800001</v>
      </c>
      <c r="J38" s="81">
        <f>BALANCE!J617</f>
        <v>5379596.7148599997</v>
      </c>
      <c r="K38" s="82">
        <f>BALANCE!K617</f>
        <v>408331.20366</v>
      </c>
    </row>
    <row r="39" spans="1:11" ht="15" x14ac:dyDescent="0.25">
      <c r="A39" s="93">
        <v>33</v>
      </c>
      <c r="B39" s="20"/>
      <c r="C39" s="80"/>
      <c r="D39" s="22"/>
      <c r="E39" s="22"/>
      <c r="F39" s="22"/>
      <c r="G39" s="22"/>
      <c r="H39" s="22"/>
      <c r="I39" s="22"/>
      <c r="J39" s="22"/>
      <c r="K39" s="79"/>
    </row>
    <row r="40" spans="1:11" ht="15" x14ac:dyDescent="0.25">
      <c r="A40" s="93">
        <v>34</v>
      </c>
      <c r="B40" s="23">
        <f>BALANCE!B619</f>
        <v>4</v>
      </c>
      <c r="C40" s="80" t="str">
        <f>BALANCE!C619</f>
        <v>GASTOS</v>
      </c>
      <c r="D40" s="81">
        <f>BALANCE!D619</f>
        <v>22780.313569999998</v>
      </c>
      <c r="E40" s="81">
        <f>BALANCE!E619</f>
        <v>22780.313569999998</v>
      </c>
      <c r="F40" s="81">
        <f>BALANCE!F619</f>
        <v>22422.583849999999</v>
      </c>
      <c r="G40" s="81">
        <f>BALANCE!G619</f>
        <v>105065.58886</v>
      </c>
      <c r="H40" s="81">
        <f>BALANCE!H619</f>
        <v>101112.71661</v>
      </c>
      <c r="I40" s="81">
        <f>BALANCE!I619</f>
        <v>228600.88932000002</v>
      </c>
      <c r="J40" s="81">
        <f>BALANCE!J619</f>
        <v>251381.20289000002</v>
      </c>
      <c r="K40" s="82">
        <f>BALANCE!K619</f>
        <v>8765.0713199999991</v>
      </c>
    </row>
    <row r="41" spans="1:11" ht="15" x14ac:dyDescent="0.25">
      <c r="A41" s="93">
        <v>35</v>
      </c>
      <c r="B41" s="20"/>
      <c r="C41" s="80"/>
      <c r="D41" s="81"/>
      <c r="E41" s="81"/>
      <c r="F41" s="81"/>
      <c r="G41" s="81"/>
      <c r="H41" s="81"/>
      <c r="I41" s="81"/>
      <c r="J41" s="81"/>
      <c r="K41" s="82"/>
    </row>
    <row r="42" spans="1:11" ht="15" x14ac:dyDescent="0.25">
      <c r="A42" s="93">
        <v>36</v>
      </c>
      <c r="B42" s="20"/>
      <c r="C42" s="80" t="str">
        <f>BALANCE!C621</f>
        <v>TOTAL ACTIVO Y GASTOS</v>
      </c>
      <c r="D42" s="81">
        <f>BALANCE!D621</f>
        <v>282910.97265000001</v>
      </c>
      <c r="E42" s="81">
        <f>BALANCE!E621</f>
        <v>282910.97265000001</v>
      </c>
      <c r="F42" s="81">
        <f>BALANCE!F621</f>
        <v>1399743.6941</v>
      </c>
      <c r="G42" s="81">
        <f>BALANCE!G621</f>
        <v>1619597.9889400001</v>
      </c>
      <c r="H42" s="81">
        <f>BALANCE!H621</f>
        <v>2328725.2620600001</v>
      </c>
      <c r="I42" s="81">
        <f>BALANCE!I621</f>
        <v>5348066.9451000001</v>
      </c>
      <c r="J42" s="81">
        <f>BALANCE!J621</f>
        <v>5630977.91775</v>
      </c>
      <c r="K42" s="82">
        <f>BALANCE!K621</f>
        <v>417096.27497999999</v>
      </c>
    </row>
    <row r="43" spans="1:11" ht="15" x14ac:dyDescent="0.25">
      <c r="A43" s="93">
        <v>37</v>
      </c>
      <c r="B43" s="20"/>
      <c r="C43" s="80"/>
      <c r="D43" s="22"/>
      <c r="E43" s="22"/>
      <c r="F43" s="22"/>
      <c r="G43" s="22"/>
      <c r="H43" s="22"/>
      <c r="I43" s="22"/>
      <c r="J43" s="22"/>
      <c r="K43" s="79"/>
    </row>
    <row r="44" spans="1:11" ht="15" x14ac:dyDescent="0.25">
      <c r="A44" s="93">
        <v>38</v>
      </c>
      <c r="B44" s="20"/>
      <c r="C44" s="80" t="str">
        <f>BALANCE!C623</f>
        <v>PASIVO</v>
      </c>
      <c r="D44" s="22"/>
      <c r="E44" s="22"/>
      <c r="F44" s="22"/>
      <c r="G44" s="22"/>
      <c r="H44" s="22"/>
      <c r="I44" s="22"/>
      <c r="J44" s="22"/>
      <c r="K44" s="79"/>
    </row>
    <row r="45" spans="1:11" x14ac:dyDescent="0.2">
      <c r="A45" s="93">
        <v>39</v>
      </c>
      <c r="B45" s="20">
        <f>BALANCE!B624</f>
        <v>21</v>
      </c>
      <c r="C45" s="78" t="str">
        <f>BALANCE!C624</f>
        <v>OBLIGACIONES CON EL PUBLICO</v>
      </c>
      <c r="D45" s="22">
        <f>BALANCE!D624</f>
        <v>160006.48314999999</v>
      </c>
      <c r="E45" s="22">
        <f>BALANCE!E624</f>
        <v>160006.48314999999</v>
      </c>
      <c r="F45" s="22">
        <f>BALANCE!F624</f>
        <v>427092.83601000003</v>
      </c>
      <c r="G45" s="22">
        <f>BALANCE!G624</f>
        <v>1006696.77302</v>
      </c>
      <c r="H45" s="22">
        <f>BALANCE!H624</f>
        <v>1181384.28309</v>
      </c>
      <c r="I45" s="22">
        <f>BALANCE!I624</f>
        <v>2615173.89212</v>
      </c>
      <c r="J45" s="22">
        <f>BALANCE!J624</f>
        <v>2775180.3752699997</v>
      </c>
      <c r="K45" s="79">
        <f>BALANCE!K624</f>
        <v>0</v>
      </c>
    </row>
    <row r="46" spans="1:11" x14ac:dyDescent="0.2">
      <c r="A46" s="93">
        <v>40</v>
      </c>
      <c r="B46" s="20">
        <f>+BALANCE!B625</f>
        <v>2101</v>
      </c>
      <c r="C46" s="78" t="str">
        <f>+BALANCE!C625</f>
        <v>Depósitos a la vista</v>
      </c>
      <c r="D46" s="22">
        <f>+BALANCE!D625</f>
        <v>20782.49872</v>
      </c>
      <c r="E46" s="22">
        <f>+BALANCE!E625</f>
        <v>20782.49872</v>
      </c>
      <c r="F46" s="22">
        <f>+BALANCE!F625</f>
        <v>0</v>
      </c>
      <c r="G46" s="22">
        <f>+BALANCE!G625</f>
        <v>692955.14200999995</v>
      </c>
      <c r="H46" s="22">
        <f>+BALANCE!H625</f>
        <v>0</v>
      </c>
      <c r="I46" s="22">
        <f>+BALANCE!I625</f>
        <v>692955.14200999995</v>
      </c>
      <c r="J46" s="22">
        <f>+BALANCE!J625</f>
        <v>713737.64072999998</v>
      </c>
      <c r="K46" s="79">
        <f>+BALANCE!K625</f>
        <v>0</v>
      </c>
    </row>
    <row r="47" spans="1:11" x14ac:dyDescent="0.2">
      <c r="A47" s="93">
        <v>41</v>
      </c>
      <c r="B47" s="20">
        <f>+BALANCE!B637</f>
        <v>2102</v>
      </c>
      <c r="C47" s="78" t="str">
        <f>+BALANCE!C637</f>
        <v>Operaciones de reporto</v>
      </c>
      <c r="D47" s="22">
        <f>+BALANCE!D637</f>
        <v>0</v>
      </c>
      <c r="E47" s="22">
        <f>+BALANCE!E637</f>
        <v>0</v>
      </c>
      <c r="F47" s="22">
        <f>+BALANCE!F637</f>
        <v>0</v>
      </c>
      <c r="G47" s="22">
        <f>+BALANCE!G637</f>
        <v>0</v>
      </c>
      <c r="H47" s="22">
        <f>+BALANCE!H637</f>
        <v>0</v>
      </c>
      <c r="I47" s="22">
        <f>+BALANCE!I637</f>
        <v>0</v>
      </c>
      <c r="J47" s="22">
        <f>+BALANCE!J637</f>
        <v>0</v>
      </c>
      <c r="K47" s="79">
        <f>+BALANCE!K637</f>
        <v>0</v>
      </c>
    </row>
    <row r="48" spans="1:11" x14ac:dyDescent="0.2">
      <c r="A48" s="93">
        <v>42</v>
      </c>
      <c r="B48" s="20">
        <f>+BALANCE!B641</f>
        <v>2103</v>
      </c>
      <c r="C48" s="78" t="str">
        <f>+BALANCE!C641</f>
        <v>Depósitos a plazo</v>
      </c>
      <c r="D48" s="22">
        <f>+BALANCE!D641</f>
        <v>112499.99999</v>
      </c>
      <c r="E48" s="22">
        <f>+BALANCE!E641</f>
        <v>112499.99999</v>
      </c>
      <c r="F48" s="22">
        <f>+BALANCE!F641</f>
        <v>427092.83601000003</v>
      </c>
      <c r="G48" s="22">
        <f>+BALANCE!G641</f>
        <v>312474.36018999998</v>
      </c>
      <c r="H48" s="22">
        <f>+BALANCE!H641</f>
        <v>1181384.28309</v>
      </c>
      <c r="I48" s="22">
        <f>+BALANCE!I641</f>
        <v>1920951.4792900002</v>
      </c>
      <c r="J48" s="22">
        <f>+BALANCE!J641</f>
        <v>2033451.4792800001</v>
      </c>
      <c r="K48" s="79">
        <f>+BALANCE!K641</f>
        <v>0</v>
      </c>
    </row>
    <row r="49" spans="1:11" x14ac:dyDescent="0.2">
      <c r="A49" s="93">
        <v>43</v>
      </c>
      <c r="B49" s="20">
        <f>+BALANCE!B648</f>
        <v>2104</v>
      </c>
      <c r="C49" s="78" t="str">
        <f>+BALANCE!C648</f>
        <v>Depósitos de garantía</v>
      </c>
      <c r="D49" s="22">
        <f>+BALANCE!D648</f>
        <v>26723.98444</v>
      </c>
      <c r="E49" s="22">
        <f>+BALANCE!E648</f>
        <v>26723.98444</v>
      </c>
      <c r="F49" s="22">
        <f>+BALANCE!F648</f>
        <v>0</v>
      </c>
      <c r="G49" s="22">
        <f>+BALANCE!G648</f>
        <v>1267.27082</v>
      </c>
      <c r="H49" s="22">
        <f>+BALANCE!H648</f>
        <v>0</v>
      </c>
      <c r="I49" s="22">
        <f>+BALANCE!I648</f>
        <v>1267.27082</v>
      </c>
      <c r="J49" s="22">
        <f>+BALANCE!J648</f>
        <v>27991.255260000002</v>
      </c>
      <c r="K49" s="79">
        <f>+BALANCE!K648</f>
        <v>0</v>
      </c>
    </row>
    <row r="50" spans="1:11" x14ac:dyDescent="0.2">
      <c r="A50" s="93">
        <v>44</v>
      </c>
      <c r="B50" s="20">
        <f>+BALANCE!B649</f>
        <v>2105</v>
      </c>
      <c r="C50" s="78" t="str">
        <f>+BALANCE!C649</f>
        <v>Depósitos restringidos</v>
      </c>
      <c r="D50" s="22">
        <f>+BALANCE!D649</f>
        <v>0</v>
      </c>
      <c r="E50" s="22">
        <f>+BALANCE!E649</f>
        <v>0</v>
      </c>
      <c r="F50" s="22">
        <f>+BALANCE!F649</f>
        <v>0</v>
      </c>
      <c r="G50" s="22">
        <f>+BALANCE!G649</f>
        <v>0</v>
      </c>
      <c r="H50" s="22">
        <f>+BALANCE!H649</f>
        <v>0</v>
      </c>
      <c r="I50" s="22">
        <f>+BALANCE!I649</f>
        <v>0</v>
      </c>
      <c r="J50" s="22">
        <f>+BALANCE!J649</f>
        <v>0</v>
      </c>
      <c r="K50" s="79">
        <f>+BALANCE!K649</f>
        <v>0</v>
      </c>
    </row>
    <row r="51" spans="1:11" x14ac:dyDescent="0.2">
      <c r="A51" s="93">
        <v>45</v>
      </c>
      <c r="B51" s="20">
        <f>+BALANCE!B650</f>
        <v>22</v>
      </c>
      <c r="C51" s="78" t="str">
        <f>+BALANCE!C650</f>
        <v>OPERACIONES INTERBANCARIAS</v>
      </c>
      <c r="D51" s="22">
        <f>+BALANCE!D650</f>
        <v>0</v>
      </c>
      <c r="E51" s="22">
        <f>+BALANCE!E650</f>
        <v>0</v>
      </c>
      <c r="F51" s="22">
        <f>+BALANCE!F650</f>
        <v>0</v>
      </c>
      <c r="G51" s="22">
        <f>+BALANCE!G650</f>
        <v>0</v>
      </c>
      <c r="H51" s="22">
        <f>+BALANCE!H650</f>
        <v>655</v>
      </c>
      <c r="I51" s="22">
        <f>+BALANCE!I650</f>
        <v>655</v>
      </c>
      <c r="J51" s="22">
        <f>+BALANCE!J650</f>
        <v>655</v>
      </c>
      <c r="K51" s="79">
        <f>+BALANCE!K650</f>
        <v>0</v>
      </c>
    </row>
    <row r="52" spans="1:11" x14ac:dyDescent="0.2">
      <c r="A52" s="93">
        <v>46</v>
      </c>
      <c r="B52" s="20">
        <f>+BALANCE!B659</f>
        <v>23</v>
      </c>
      <c r="C52" s="78" t="str">
        <f>+BALANCE!C659</f>
        <v>OBLIGACIONES INMEDIATAS</v>
      </c>
      <c r="D52" s="22">
        <f>+BALANCE!D659</f>
        <v>0</v>
      </c>
      <c r="E52" s="22">
        <f>+BALANCE!E659</f>
        <v>0</v>
      </c>
      <c r="F52" s="22">
        <f>+BALANCE!F659</f>
        <v>0</v>
      </c>
      <c r="G52" s="22">
        <f>+BALANCE!G659</f>
        <v>19626.370200000001</v>
      </c>
      <c r="H52" s="22">
        <f>+BALANCE!H659</f>
        <v>0</v>
      </c>
      <c r="I52" s="22">
        <f>+BALANCE!I659</f>
        <v>19626.370200000001</v>
      </c>
      <c r="J52" s="22">
        <f>+BALANCE!J659</f>
        <v>19626.370200000001</v>
      </c>
      <c r="K52" s="79">
        <f>+BALANCE!K659</f>
        <v>0</v>
      </c>
    </row>
    <row r="53" spans="1:11" x14ac:dyDescent="0.2">
      <c r="A53" s="93">
        <v>47</v>
      </c>
      <c r="B53" s="20">
        <f>+BALANCE!B669</f>
        <v>24</v>
      </c>
      <c r="C53" s="78" t="str">
        <f>+BALANCE!C669</f>
        <v>ACEPTACIONES EN CIRCULACION</v>
      </c>
      <c r="D53" s="22">
        <f>+BALANCE!D669</f>
        <v>0</v>
      </c>
      <c r="E53" s="22">
        <f>+BALANCE!E669</f>
        <v>0</v>
      </c>
      <c r="F53" s="22">
        <f>+BALANCE!F669</f>
        <v>0</v>
      </c>
      <c r="G53" s="22">
        <f>+BALANCE!G669</f>
        <v>0</v>
      </c>
      <c r="H53" s="22">
        <f>+BALANCE!H669</f>
        <v>0</v>
      </c>
      <c r="I53" s="22">
        <f>+BALANCE!I669</f>
        <v>0</v>
      </c>
      <c r="J53" s="22">
        <f>+BALANCE!J669</f>
        <v>0</v>
      </c>
      <c r="K53" s="79">
        <f>+BALANCE!K669</f>
        <v>0</v>
      </c>
    </row>
    <row r="54" spans="1:11" x14ac:dyDescent="0.2">
      <c r="A54" s="93">
        <v>48</v>
      </c>
      <c r="B54" s="20">
        <f>+BALANCE!B672</f>
        <v>25</v>
      </c>
      <c r="C54" s="78" t="str">
        <f>+BALANCE!C672</f>
        <v>CUENTAS POR PAGAR</v>
      </c>
      <c r="D54" s="22">
        <f>+BALANCE!D672</f>
        <v>8287.8509400000003</v>
      </c>
      <c r="E54" s="22">
        <f>+BALANCE!E672</f>
        <v>8287.8509400000003</v>
      </c>
      <c r="F54" s="22">
        <f>+BALANCE!F672</f>
        <v>124649.54824</v>
      </c>
      <c r="G54" s="22">
        <f>+BALANCE!G672</f>
        <v>37357.992850000002</v>
      </c>
      <c r="H54" s="22">
        <f>+BALANCE!H672</f>
        <v>56565.903879999998</v>
      </c>
      <c r="I54" s="22">
        <f>+BALANCE!I672</f>
        <v>218573.44497000001</v>
      </c>
      <c r="J54" s="22">
        <f>+BALANCE!J672</f>
        <v>226861.29591000002</v>
      </c>
      <c r="K54" s="79">
        <f>+BALANCE!K672</f>
        <v>4589.2739000000001</v>
      </c>
    </row>
    <row r="55" spans="1:11" x14ac:dyDescent="0.2">
      <c r="A55" s="93">
        <v>49</v>
      </c>
      <c r="B55" s="20">
        <f>+BALANCE!B713</f>
        <v>26</v>
      </c>
      <c r="C55" s="78" t="str">
        <f>+BALANCE!C713</f>
        <v>OBLIGACIONES FINANCIERAS</v>
      </c>
      <c r="D55" s="22">
        <f>+BALANCE!D713</f>
        <v>917.75852999999995</v>
      </c>
      <c r="E55" s="22">
        <f>+BALANCE!E713</f>
        <v>917.75852999999995</v>
      </c>
      <c r="F55" s="22">
        <f>+BALANCE!F713</f>
        <v>13970.07429</v>
      </c>
      <c r="G55" s="22">
        <f>+BALANCE!G713</f>
        <v>241.19851</v>
      </c>
      <c r="H55" s="22">
        <f>+BALANCE!H713</f>
        <v>100048.11142</v>
      </c>
      <c r="I55" s="22">
        <f>+BALANCE!I713</f>
        <v>114259.38422000001</v>
      </c>
      <c r="J55" s="22">
        <f>+BALANCE!J713</f>
        <v>115177.14275000001</v>
      </c>
      <c r="K55" s="79">
        <f>+BALANCE!K713</f>
        <v>0</v>
      </c>
    </row>
    <row r="56" spans="1:11" x14ac:dyDescent="0.2">
      <c r="A56" s="93">
        <v>50</v>
      </c>
      <c r="B56" s="20">
        <f>+BALANCE!B714</f>
        <v>2601</v>
      </c>
      <c r="C56" s="78" t="str">
        <f>+BALANCE!C714</f>
        <v>Sobregiros</v>
      </c>
      <c r="D56" s="22">
        <f>+BALANCE!D714</f>
        <v>0</v>
      </c>
      <c r="E56" s="22">
        <f>+BALANCE!E714</f>
        <v>0</v>
      </c>
      <c r="F56" s="22">
        <f>+BALANCE!F714</f>
        <v>0</v>
      </c>
      <c r="G56" s="22">
        <f>+BALANCE!G714</f>
        <v>0</v>
      </c>
      <c r="H56" s="22">
        <f>+BALANCE!H714</f>
        <v>0</v>
      </c>
      <c r="I56" s="22">
        <f>+BALANCE!I714</f>
        <v>0</v>
      </c>
      <c r="J56" s="22">
        <f>+BALANCE!J714</f>
        <v>0</v>
      </c>
      <c r="K56" s="79">
        <f>+BALANCE!K714</f>
        <v>0</v>
      </c>
    </row>
    <row r="57" spans="1:11" x14ac:dyDescent="0.2">
      <c r="A57" s="93">
        <v>51</v>
      </c>
      <c r="B57" s="20">
        <f>+BALANCE!B715</f>
        <v>2602</v>
      </c>
      <c r="C57" s="78" t="str">
        <f>+BALANCE!C715</f>
        <v>Obligaciones con instituciones financieras del país</v>
      </c>
      <c r="D57" s="22">
        <f>+BALANCE!D715</f>
        <v>0</v>
      </c>
      <c r="E57" s="22">
        <f>+BALANCE!E715</f>
        <v>0</v>
      </c>
      <c r="F57" s="22">
        <f>+BALANCE!F715</f>
        <v>0</v>
      </c>
      <c r="G57" s="22">
        <f>+BALANCE!G715</f>
        <v>0</v>
      </c>
      <c r="H57" s="22">
        <f>+BALANCE!H715</f>
        <v>0</v>
      </c>
      <c r="I57" s="22">
        <f>+BALANCE!I715</f>
        <v>0</v>
      </c>
      <c r="J57" s="22">
        <f>+BALANCE!J715</f>
        <v>0</v>
      </c>
      <c r="K57" s="79">
        <f>+BALANCE!K715</f>
        <v>0</v>
      </c>
    </row>
    <row r="58" spans="1:11" x14ac:dyDescent="0.2">
      <c r="A58" s="93">
        <v>52</v>
      </c>
      <c r="B58" s="20">
        <f>+BALANCE!B721</f>
        <v>2603</v>
      </c>
      <c r="C58" s="78" t="str">
        <f>+BALANCE!C721</f>
        <v>Obligaciones con instituciones financieras del exterior</v>
      </c>
      <c r="D58" s="22">
        <f>+BALANCE!D721</f>
        <v>0</v>
      </c>
      <c r="E58" s="22">
        <f>+BALANCE!E721</f>
        <v>0</v>
      </c>
      <c r="F58" s="22">
        <f>+BALANCE!F721</f>
        <v>0</v>
      </c>
      <c r="G58" s="22">
        <f>+BALANCE!G721</f>
        <v>0</v>
      </c>
      <c r="H58" s="22">
        <f>+BALANCE!H721</f>
        <v>468.93610999999999</v>
      </c>
      <c r="I58" s="22">
        <f>+BALANCE!I721</f>
        <v>468.93610999999999</v>
      </c>
      <c r="J58" s="22">
        <f>+BALANCE!J721</f>
        <v>468.93610999999999</v>
      </c>
      <c r="K58" s="79">
        <f>+BALANCE!K721</f>
        <v>0</v>
      </c>
    </row>
    <row r="59" spans="1:11" x14ac:dyDescent="0.2">
      <c r="A59" s="93">
        <v>53</v>
      </c>
      <c r="B59" s="20">
        <f>+BALANCE!B727</f>
        <v>2604</v>
      </c>
      <c r="C59" s="78" t="str">
        <f>+BALANCE!C727</f>
        <v>Obligaciones con entidades del grupo financiero en el país</v>
      </c>
      <c r="D59" s="22">
        <f>+BALANCE!D727</f>
        <v>0</v>
      </c>
      <c r="E59" s="22">
        <f>+BALANCE!E727</f>
        <v>0</v>
      </c>
      <c r="F59" s="22">
        <f>+BALANCE!F727</f>
        <v>0</v>
      </c>
      <c r="G59" s="22">
        <f>+BALANCE!G727</f>
        <v>0</v>
      </c>
      <c r="H59" s="22">
        <f>+BALANCE!H727</f>
        <v>0</v>
      </c>
      <c r="I59" s="22">
        <f>+BALANCE!I727</f>
        <v>0</v>
      </c>
      <c r="J59" s="22">
        <f>+BALANCE!J727</f>
        <v>0</v>
      </c>
      <c r="K59" s="79">
        <f>+BALANCE!K727</f>
        <v>0</v>
      </c>
    </row>
    <row r="60" spans="1:11" x14ac:dyDescent="0.2">
      <c r="A60" s="93">
        <v>54</v>
      </c>
      <c r="B60" s="20">
        <f>+BALANCE!B733</f>
        <v>2605</v>
      </c>
      <c r="C60" s="78" t="str">
        <f>+BALANCE!C733</f>
        <v>Obligaciones con entidades del grupo financiero en el exterior</v>
      </c>
      <c r="D60" s="22">
        <f>+BALANCE!D733</f>
        <v>0</v>
      </c>
      <c r="E60" s="22">
        <f>+BALANCE!E733</f>
        <v>0</v>
      </c>
      <c r="F60" s="22">
        <f>+BALANCE!F733</f>
        <v>0</v>
      </c>
      <c r="G60" s="22">
        <f>+BALANCE!G733</f>
        <v>0</v>
      </c>
      <c r="H60" s="22">
        <f>+BALANCE!H733</f>
        <v>0</v>
      </c>
      <c r="I60" s="22">
        <f>+BALANCE!I733</f>
        <v>0</v>
      </c>
      <c r="J60" s="22">
        <f>+BALANCE!J733</f>
        <v>0</v>
      </c>
      <c r="K60" s="79">
        <f>+BALANCE!K733</f>
        <v>0</v>
      </c>
    </row>
    <row r="61" spans="1:11" x14ac:dyDescent="0.2">
      <c r="A61" s="93">
        <v>55</v>
      </c>
      <c r="B61" s="20">
        <f>+BALANCE!B739</f>
        <v>2606</v>
      </c>
      <c r="C61" s="78" t="str">
        <f>+BALANCE!C739</f>
        <v>Obligaciones con entidades financieras del sector público</v>
      </c>
      <c r="D61" s="22">
        <f>+BALANCE!D739</f>
        <v>0</v>
      </c>
      <c r="E61" s="22">
        <f>+BALANCE!E739</f>
        <v>0</v>
      </c>
      <c r="F61" s="22">
        <f>+BALANCE!F739</f>
        <v>0</v>
      </c>
      <c r="G61" s="22">
        <f>+BALANCE!G739</f>
        <v>236.27256</v>
      </c>
      <c r="H61" s="22">
        <f>+BALANCE!H739</f>
        <v>0</v>
      </c>
      <c r="I61" s="22">
        <f>+BALANCE!I739</f>
        <v>236.27256</v>
      </c>
      <c r="J61" s="22">
        <f>+BALANCE!J739</f>
        <v>236.27256</v>
      </c>
      <c r="K61" s="79">
        <f>+BALANCE!K739</f>
        <v>0</v>
      </c>
    </row>
    <row r="62" spans="1:11" x14ac:dyDescent="0.2">
      <c r="A62" s="93">
        <v>56</v>
      </c>
      <c r="B62" s="20">
        <f>+BALANCE!B745</f>
        <v>2607</v>
      </c>
      <c r="C62" s="78" t="str">
        <f>+BALANCE!C745</f>
        <v>Obligaciones con organismos multilaterales</v>
      </c>
      <c r="D62" s="22">
        <f>+BALANCE!D745</f>
        <v>917.75852999999995</v>
      </c>
      <c r="E62" s="22">
        <f>+BALANCE!E745</f>
        <v>917.75852999999995</v>
      </c>
      <c r="F62" s="22">
        <f>+BALANCE!F745</f>
        <v>13970.07429</v>
      </c>
      <c r="G62" s="22">
        <f>+BALANCE!G745</f>
        <v>4.9259500000000003</v>
      </c>
      <c r="H62" s="22">
        <f>+BALANCE!H745</f>
        <v>99579.175310000006</v>
      </c>
      <c r="I62" s="22">
        <f>+BALANCE!I745</f>
        <v>113554.17555000001</v>
      </c>
      <c r="J62" s="22">
        <f>+BALANCE!J745</f>
        <v>114471.93408000002</v>
      </c>
      <c r="K62" s="79">
        <f>+BALANCE!K745</f>
        <v>0</v>
      </c>
    </row>
    <row r="63" spans="1:11" x14ac:dyDescent="0.2">
      <c r="A63" s="93">
        <v>57</v>
      </c>
      <c r="B63" s="20">
        <f>+BALANCE!B751</f>
        <v>2608</v>
      </c>
      <c r="C63" s="78" t="str">
        <f>+BALANCE!C751</f>
        <v>Préstamo subordinado</v>
      </c>
      <c r="D63" s="22">
        <f>+BALANCE!D751</f>
        <v>0</v>
      </c>
      <c r="E63" s="22">
        <f>+BALANCE!E751</f>
        <v>0</v>
      </c>
      <c r="F63" s="22">
        <f>+BALANCE!F751</f>
        <v>0</v>
      </c>
      <c r="G63" s="22">
        <f>+BALANCE!G751</f>
        <v>0</v>
      </c>
      <c r="H63" s="22">
        <f>+BALANCE!H751</f>
        <v>0</v>
      </c>
      <c r="I63" s="22">
        <f>+BALANCE!I751</f>
        <v>0</v>
      </c>
      <c r="J63" s="22">
        <f>+BALANCE!J751</f>
        <v>0</v>
      </c>
      <c r="K63" s="79">
        <f>+BALANCE!K751</f>
        <v>0</v>
      </c>
    </row>
    <row r="64" spans="1:11" x14ac:dyDescent="0.2">
      <c r="A64" s="93">
        <v>58</v>
      </c>
      <c r="B64" s="20">
        <f>+BALANCE!B757</f>
        <v>2609</v>
      </c>
      <c r="C64" s="78" t="str">
        <f>+BALANCE!C757</f>
        <v>Obligaciones con entidades del sector público</v>
      </c>
      <c r="D64" s="22">
        <f>+BALANCE!D757</f>
        <v>0</v>
      </c>
      <c r="E64" s="22">
        <f>+BALANCE!E757</f>
        <v>0</v>
      </c>
      <c r="F64" s="22">
        <f>+BALANCE!F757</f>
        <v>0</v>
      </c>
      <c r="G64" s="22">
        <f>+BALANCE!G757</f>
        <v>0</v>
      </c>
      <c r="H64" s="22">
        <f>+BALANCE!H757</f>
        <v>0</v>
      </c>
      <c r="I64" s="22">
        <f>+BALANCE!I757</f>
        <v>0</v>
      </c>
      <c r="J64" s="22">
        <f>+BALANCE!J757</f>
        <v>0</v>
      </c>
      <c r="K64" s="79">
        <f>+BALANCE!K757</f>
        <v>0</v>
      </c>
    </row>
    <row r="65" spans="1:11" x14ac:dyDescent="0.2">
      <c r="A65" s="93">
        <v>59</v>
      </c>
      <c r="B65" s="20">
        <f>+BALANCE!B763</f>
        <v>2690</v>
      </c>
      <c r="C65" s="78" t="str">
        <f>+BALANCE!C763</f>
        <v>Otras obligaciones</v>
      </c>
      <c r="D65" s="22">
        <f>+BALANCE!D763</f>
        <v>0</v>
      </c>
      <c r="E65" s="22">
        <f>+BALANCE!E763</f>
        <v>0</v>
      </c>
      <c r="F65" s="22">
        <f>+BALANCE!F763</f>
        <v>0</v>
      </c>
      <c r="G65" s="22">
        <f>+BALANCE!G763</f>
        <v>0</v>
      </c>
      <c r="H65" s="22">
        <f>+BALANCE!H763</f>
        <v>0</v>
      </c>
      <c r="I65" s="22">
        <f>+BALANCE!I763</f>
        <v>0</v>
      </c>
      <c r="J65" s="22">
        <f>+BALANCE!J763</f>
        <v>0</v>
      </c>
      <c r="K65" s="79">
        <f>+BALANCE!K763</f>
        <v>0</v>
      </c>
    </row>
    <row r="66" spans="1:11" x14ac:dyDescent="0.2">
      <c r="A66" s="93">
        <v>60</v>
      </c>
      <c r="B66" s="20">
        <f>+BALANCE!B769</f>
        <v>27</v>
      </c>
      <c r="C66" s="78" t="str">
        <f>+BALANCE!C769</f>
        <v>VALORES EN CIRCULACION</v>
      </c>
      <c r="D66" s="22">
        <f>+BALANCE!D769</f>
        <v>0</v>
      </c>
      <c r="E66" s="22">
        <f>+BALANCE!E769</f>
        <v>0</v>
      </c>
      <c r="F66" s="22">
        <f>+BALANCE!F769</f>
        <v>0</v>
      </c>
      <c r="G66" s="22">
        <f>+BALANCE!G769</f>
        <v>0</v>
      </c>
      <c r="H66" s="22">
        <f>+BALANCE!H769</f>
        <v>0</v>
      </c>
      <c r="I66" s="22">
        <f>+BALANCE!I769</f>
        <v>0</v>
      </c>
      <c r="J66" s="22">
        <f>+BALANCE!J769</f>
        <v>0</v>
      </c>
      <c r="K66" s="79">
        <f>+BALANCE!K769</f>
        <v>0</v>
      </c>
    </row>
    <row r="67" spans="1:11" x14ac:dyDescent="0.2">
      <c r="A67" s="93">
        <v>61</v>
      </c>
      <c r="B67" s="20">
        <f>+BALANCE!B783</f>
        <v>28</v>
      </c>
      <c r="C67" s="78" t="str">
        <f>+BALANCE!C783</f>
        <v>OBLIGACIONES CONVERTIBLES EN ACCIONES Y APORTES PARA FUTURA CAPITALIZACION</v>
      </c>
      <c r="D67" s="22">
        <f>+BALANCE!D783</f>
        <v>0</v>
      </c>
      <c r="E67" s="22">
        <f>+BALANCE!E783</f>
        <v>0</v>
      </c>
      <c r="F67" s="22">
        <f>+BALANCE!F783</f>
        <v>0</v>
      </c>
      <c r="G67" s="22">
        <f>+BALANCE!G783</f>
        <v>0</v>
      </c>
      <c r="H67" s="22">
        <f>+BALANCE!H783</f>
        <v>0</v>
      </c>
      <c r="I67" s="22">
        <f>+BALANCE!I783</f>
        <v>0</v>
      </c>
      <c r="J67" s="22">
        <f>+BALANCE!J783</f>
        <v>0</v>
      </c>
      <c r="K67" s="79">
        <f>+BALANCE!K783</f>
        <v>0</v>
      </c>
    </row>
    <row r="68" spans="1:11" x14ac:dyDescent="0.2">
      <c r="A68" s="93">
        <v>62</v>
      </c>
      <c r="B68" s="20">
        <f>+BALANCE!B788</f>
        <v>29</v>
      </c>
      <c r="C68" s="78" t="str">
        <f>+BALANCE!C788</f>
        <v>OTROS PASIVOS</v>
      </c>
      <c r="D68" s="22">
        <f>+BALANCE!D788</f>
        <v>14281.50799</v>
      </c>
      <c r="E68" s="22">
        <f>+BALANCE!E788</f>
        <v>14281.50799</v>
      </c>
      <c r="F68" s="22">
        <f>+BALANCE!F788</f>
        <v>363660.78824999998</v>
      </c>
      <c r="G68" s="22">
        <f>+BALANCE!G788</f>
        <v>47379.890800000001</v>
      </c>
      <c r="H68" s="22">
        <f>+BALANCE!H788</f>
        <v>1986.6985999999999</v>
      </c>
      <c r="I68" s="22">
        <f>+BALANCE!I788</f>
        <v>413027.37764999998</v>
      </c>
      <c r="J68" s="22">
        <f>+BALANCE!J788</f>
        <v>427308.88563999999</v>
      </c>
      <c r="K68" s="79">
        <f>+BALANCE!K788</f>
        <v>35633.31205</v>
      </c>
    </row>
    <row r="69" spans="1:11" ht="15" x14ac:dyDescent="0.25">
      <c r="A69" s="93">
        <v>63</v>
      </c>
      <c r="B69" s="20"/>
      <c r="C69" s="80" t="str">
        <f>+BALANCE!C805</f>
        <v>TOTAL PASIVO</v>
      </c>
      <c r="D69" s="81">
        <f>+BALANCE!D805</f>
        <v>183493.60060999999</v>
      </c>
      <c r="E69" s="81">
        <f>+BALANCE!E805</f>
        <v>183493.60060999999</v>
      </c>
      <c r="F69" s="81">
        <f>+BALANCE!F805</f>
        <v>929373.24679</v>
      </c>
      <c r="G69" s="81">
        <f>+BALANCE!G805</f>
        <v>1111302.22538</v>
      </c>
      <c r="H69" s="81">
        <f>+BALANCE!H805</f>
        <v>1340639.9969899999</v>
      </c>
      <c r="I69" s="81">
        <f>+BALANCE!I805</f>
        <v>3381315.4691599999</v>
      </c>
      <c r="J69" s="81">
        <f>+BALANCE!J805</f>
        <v>3564809.0697699999</v>
      </c>
      <c r="K69" s="82">
        <f>+BALANCE!K805</f>
        <v>40222.585950000001</v>
      </c>
    </row>
    <row r="70" spans="1:11" ht="15" x14ac:dyDescent="0.25">
      <c r="A70" s="93">
        <v>64</v>
      </c>
      <c r="B70" s="20"/>
      <c r="C70" s="80"/>
      <c r="D70" s="22"/>
      <c r="E70" s="22"/>
      <c r="F70" s="22"/>
      <c r="G70" s="22"/>
      <c r="H70" s="22"/>
      <c r="I70" s="22"/>
      <c r="J70" s="22"/>
      <c r="K70" s="79"/>
    </row>
    <row r="71" spans="1:11" ht="15" x14ac:dyDescent="0.25">
      <c r="A71" s="93">
        <v>65</v>
      </c>
      <c r="B71" s="20"/>
      <c r="C71" s="80" t="str">
        <f>+BALANCE!C807</f>
        <v>PATRIMONIO</v>
      </c>
      <c r="D71" s="22"/>
      <c r="E71" s="22"/>
      <c r="F71" s="22"/>
      <c r="G71" s="22"/>
      <c r="H71" s="22"/>
      <c r="I71" s="22"/>
      <c r="J71" s="22"/>
      <c r="K71" s="79"/>
    </row>
    <row r="72" spans="1:11" x14ac:dyDescent="0.2">
      <c r="A72" s="93">
        <v>66</v>
      </c>
      <c r="B72" s="20">
        <f>+BALANCE!B808</f>
        <v>31</v>
      </c>
      <c r="C72" s="78" t="str">
        <f>+BALANCE!C808</f>
        <v>CAPITAL SOCIAL</v>
      </c>
      <c r="D72" s="22">
        <f>+BALANCE!D808</f>
        <v>30000</v>
      </c>
      <c r="E72" s="22">
        <f>+BALANCE!E808</f>
        <v>30000</v>
      </c>
      <c r="F72" s="22">
        <f>+BALANCE!F808</f>
        <v>293668.03600000002</v>
      </c>
      <c r="G72" s="22">
        <f>+BALANCE!G808</f>
        <v>254296.67954000001</v>
      </c>
      <c r="H72" s="22">
        <f>+BALANCE!H808</f>
        <v>400000</v>
      </c>
      <c r="I72" s="22">
        <f>+BALANCE!I808</f>
        <v>947964.71554</v>
      </c>
      <c r="J72" s="22">
        <f>+BALANCE!J808</f>
        <v>977964.71554</v>
      </c>
      <c r="K72" s="79">
        <f>+BALANCE!K808</f>
        <v>0</v>
      </c>
    </row>
    <row r="73" spans="1:11" x14ac:dyDescent="0.2">
      <c r="A73" s="93">
        <v>67</v>
      </c>
      <c r="B73" s="20">
        <f>+BALANCE!B812</f>
        <v>32</v>
      </c>
      <c r="C73" s="78" t="str">
        <f>+BALANCE!C812</f>
        <v>PRIMA O DESCUENTO EN COLOCACION DE ACCIONES</v>
      </c>
      <c r="D73" s="22">
        <f>+BALANCE!D812</f>
        <v>0</v>
      </c>
      <c r="E73" s="22">
        <f>+BALANCE!E812</f>
        <v>0</v>
      </c>
      <c r="F73" s="22">
        <f>+BALANCE!F812</f>
        <v>0</v>
      </c>
      <c r="G73" s="22">
        <f>+BALANCE!G812</f>
        <v>0</v>
      </c>
      <c r="H73" s="22">
        <f>+BALANCE!H812</f>
        <v>0</v>
      </c>
      <c r="I73" s="22">
        <f>+BALANCE!I812</f>
        <v>0</v>
      </c>
      <c r="J73" s="22">
        <f>+BALANCE!J812</f>
        <v>0</v>
      </c>
      <c r="K73" s="79">
        <f>+BALANCE!K812</f>
        <v>0</v>
      </c>
    </row>
    <row r="74" spans="1:11" x14ac:dyDescent="0.2">
      <c r="A74" s="93">
        <v>68</v>
      </c>
      <c r="B74" s="20">
        <f>+BALANCE!B815</f>
        <v>33</v>
      </c>
      <c r="C74" s="78" t="str">
        <f>+BALANCE!C815</f>
        <v>RESERVAS</v>
      </c>
      <c r="D74" s="22">
        <f>+BALANCE!D815</f>
        <v>22270.871790000001</v>
      </c>
      <c r="E74" s="22">
        <f>+BALANCE!E815</f>
        <v>22270.871790000001</v>
      </c>
      <c r="F74" s="22">
        <f>+BALANCE!F815</f>
        <v>76500.898180000004</v>
      </c>
      <c r="G74" s="22">
        <f>+BALANCE!G815</f>
        <v>0.23916000000000001</v>
      </c>
      <c r="H74" s="22">
        <f>+BALANCE!H815</f>
        <v>48094.591890000003</v>
      </c>
      <c r="I74" s="22">
        <f>+BALANCE!I815</f>
        <v>124595.72923</v>
      </c>
      <c r="J74" s="22">
        <f>+BALANCE!J815</f>
        <v>146866.60102</v>
      </c>
      <c r="K74" s="79">
        <f>+BALANCE!K815</f>
        <v>362.79309000000001</v>
      </c>
    </row>
    <row r="75" spans="1:11" x14ac:dyDescent="0.2">
      <c r="A75" s="93">
        <v>69</v>
      </c>
      <c r="B75" s="20">
        <f>+BALANCE!B825</f>
        <v>34</v>
      </c>
      <c r="C75" s="78" t="str">
        <f>+BALANCE!C825</f>
        <v>OTROS APORTES PATRIMONIALES</v>
      </c>
      <c r="D75" s="22">
        <f>+BALANCE!D825</f>
        <v>15000</v>
      </c>
      <c r="E75" s="22">
        <f>+BALANCE!E825</f>
        <v>15000</v>
      </c>
      <c r="F75" s="22">
        <f>+BALANCE!F825</f>
        <v>29477.971010000001</v>
      </c>
      <c r="G75" s="22">
        <f>+BALANCE!G825</f>
        <v>234146.45366</v>
      </c>
      <c r="H75" s="22">
        <f>+BALANCE!H825</f>
        <v>362922.44185</v>
      </c>
      <c r="I75" s="22">
        <f>+BALANCE!I825</f>
        <v>626546.86651999992</v>
      </c>
      <c r="J75" s="22">
        <f>+BALANCE!J825</f>
        <v>641546.86651999992</v>
      </c>
      <c r="K75" s="79">
        <f>+BALANCE!K825</f>
        <v>357702.15230000002</v>
      </c>
    </row>
    <row r="76" spans="1:11" x14ac:dyDescent="0.2">
      <c r="A76" s="93">
        <v>70</v>
      </c>
      <c r="B76" s="20">
        <f>+BALANCE!B831</f>
        <v>35</v>
      </c>
      <c r="C76" s="78" t="str">
        <f>+BALANCE!C831</f>
        <v>SUPERAVIT POR VALUACIONES</v>
      </c>
      <c r="D76" s="22">
        <f>+BALANCE!D831</f>
        <v>4054.6382600000002</v>
      </c>
      <c r="E76" s="22">
        <f>+BALANCE!E831</f>
        <v>4054.6382600000002</v>
      </c>
      <c r="F76" s="22">
        <f>+BALANCE!F831</f>
        <v>12025.44083</v>
      </c>
      <c r="G76" s="22">
        <f>+BALANCE!G831</f>
        <v>16819.011689999999</v>
      </c>
      <c r="H76" s="22">
        <f>+BALANCE!H831</f>
        <v>8880.0333699999992</v>
      </c>
      <c r="I76" s="22">
        <f>+BALANCE!I831</f>
        <v>37724.485889999996</v>
      </c>
      <c r="J76" s="22">
        <f>+BALANCE!J831</f>
        <v>41779.124149999996</v>
      </c>
      <c r="K76" s="79">
        <f>+BALANCE!K831</f>
        <v>338.56409000000002</v>
      </c>
    </row>
    <row r="77" spans="1:11" x14ac:dyDescent="0.2">
      <c r="A77" s="93">
        <v>71</v>
      </c>
      <c r="B77" s="20">
        <f>+BALANCE!B834</f>
        <v>36</v>
      </c>
      <c r="C77" s="78" t="str">
        <f>+BALANCE!C834</f>
        <v>RESULTADOS</v>
      </c>
      <c r="D77" s="22">
        <f>+BALANCE!D834</f>
        <v>10729.207420000001</v>
      </c>
      <c r="E77" s="22">
        <f>+BALANCE!E834</f>
        <v>10729.207420000001</v>
      </c>
      <c r="F77" s="22">
        <f>+BALANCE!F834</f>
        <v>0</v>
      </c>
      <c r="G77" s="22">
        <f>+BALANCE!G834</f>
        <v>-91015.983800000002</v>
      </c>
      <c r="H77" s="22">
        <f>+BALANCE!H834</f>
        <v>0</v>
      </c>
      <c r="I77" s="22">
        <f>+BALANCE!I834</f>
        <v>-91015.983800000002</v>
      </c>
      <c r="J77" s="22">
        <f>+BALANCE!J834</f>
        <v>-80286.776379999996</v>
      </c>
      <c r="K77" s="79">
        <f>+BALANCE!K834</f>
        <v>5236.0186400000002</v>
      </c>
    </row>
    <row r="78" spans="1:11" x14ac:dyDescent="0.2">
      <c r="A78" s="93">
        <v>72</v>
      </c>
      <c r="B78" s="20">
        <f>+BALANCE!B835</f>
        <v>3601</v>
      </c>
      <c r="C78" s="78" t="str">
        <f>+BALANCE!C835</f>
        <v>Utilidades o excedentes acumuladas</v>
      </c>
      <c r="D78" s="22">
        <f>+BALANCE!D835</f>
        <v>10729.207420000001</v>
      </c>
      <c r="E78" s="22">
        <f>+BALANCE!E835</f>
        <v>10729.207420000001</v>
      </c>
      <c r="F78" s="22">
        <f>+BALANCE!F835</f>
        <v>0</v>
      </c>
      <c r="G78" s="22">
        <f>+BALANCE!G835</f>
        <v>20752.253649999999</v>
      </c>
      <c r="H78" s="22">
        <f>+BALANCE!H835</f>
        <v>0</v>
      </c>
      <c r="I78" s="22">
        <f>+BALANCE!I835</f>
        <v>20752.253649999999</v>
      </c>
      <c r="J78" s="22">
        <f>+BALANCE!J835</f>
        <v>31481.461069999998</v>
      </c>
      <c r="K78" s="79">
        <f>+BALANCE!K835</f>
        <v>8544.5668999999998</v>
      </c>
    </row>
    <row r="79" spans="1:11" x14ac:dyDescent="0.2">
      <c r="A79" s="93">
        <v>73</v>
      </c>
      <c r="B79" s="20">
        <f>+BALANCE!B836</f>
        <v>3602</v>
      </c>
      <c r="C79" s="78" t="str">
        <f>+BALANCE!C836</f>
        <v>(Pérdidas acumuladas)</v>
      </c>
      <c r="D79" s="22">
        <f>+BALANCE!D836</f>
        <v>0</v>
      </c>
      <c r="E79" s="22">
        <f>+BALANCE!E836</f>
        <v>0</v>
      </c>
      <c r="F79" s="22">
        <f>+BALANCE!F836</f>
        <v>0</v>
      </c>
      <c r="G79" s="22">
        <f>+BALANCE!G836</f>
        <v>-111768.23745</v>
      </c>
      <c r="H79" s="22">
        <f>+BALANCE!H836</f>
        <v>0</v>
      </c>
      <c r="I79" s="22">
        <f>+BALANCE!I836</f>
        <v>-111768.23745</v>
      </c>
      <c r="J79" s="22">
        <f>+BALANCE!J836</f>
        <v>-111768.23745</v>
      </c>
      <c r="K79" s="79">
        <f>+BALANCE!K836</f>
        <v>-3308.54826</v>
      </c>
    </row>
    <row r="80" spans="1:11" x14ac:dyDescent="0.2">
      <c r="A80" s="93">
        <v>74</v>
      </c>
      <c r="B80" s="20">
        <f>+BALANCE!B837</f>
        <v>3603</v>
      </c>
      <c r="C80" s="78" t="str">
        <f>+BALANCE!C837</f>
        <v>Utilidad o exedenter del ejercicio</v>
      </c>
      <c r="D80" s="22">
        <f>+BALANCE!D837</f>
        <v>0</v>
      </c>
      <c r="E80" s="22">
        <f>+BALANCE!E837</f>
        <v>0</v>
      </c>
      <c r="F80" s="22">
        <f>+BALANCE!F837</f>
        <v>0</v>
      </c>
      <c r="G80" s="22">
        <f>+BALANCE!G837</f>
        <v>0</v>
      </c>
      <c r="H80" s="22">
        <f>+BALANCE!H837</f>
        <v>0</v>
      </c>
      <c r="I80" s="22">
        <f>+BALANCE!I837</f>
        <v>0</v>
      </c>
      <c r="J80" s="22">
        <f>+BALANCE!J837</f>
        <v>0</v>
      </c>
      <c r="K80" s="79">
        <f>+BALANCE!K837</f>
        <v>0</v>
      </c>
    </row>
    <row r="81" spans="1:11" x14ac:dyDescent="0.2">
      <c r="A81" s="93">
        <v>75</v>
      </c>
      <c r="B81" s="20">
        <f>+BALANCE!B838</f>
        <v>3604</v>
      </c>
      <c r="C81" s="78" t="str">
        <f>+BALANCE!C838</f>
        <v>(Pérdida del ejercicio)</v>
      </c>
      <c r="D81" s="22">
        <f>+BALANCE!D838</f>
        <v>0</v>
      </c>
      <c r="E81" s="22">
        <f>+BALANCE!E838</f>
        <v>0</v>
      </c>
      <c r="F81" s="22">
        <f>+BALANCE!F838</f>
        <v>0</v>
      </c>
      <c r="G81" s="22">
        <f>+BALANCE!G838</f>
        <v>0</v>
      </c>
      <c r="H81" s="22">
        <f>+BALANCE!H838</f>
        <v>0</v>
      </c>
      <c r="I81" s="22">
        <f>+BALANCE!I838</f>
        <v>0</v>
      </c>
      <c r="J81" s="22">
        <f>+BALANCE!J838</f>
        <v>0</v>
      </c>
      <c r="K81" s="79">
        <f>+BALANCE!K838</f>
        <v>0</v>
      </c>
    </row>
    <row r="82" spans="1:11" ht="15" x14ac:dyDescent="0.25">
      <c r="A82" s="93">
        <v>76</v>
      </c>
      <c r="B82" s="20"/>
      <c r="C82" s="80" t="str">
        <f>+BALANCE!C839</f>
        <v>TOTAL PATRIMONIO</v>
      </c>
      <c r="D82" s="81">
        <f>+BALANCE!D839</f>
        <v>82054.717470000003</v>
      </c>
      <c r="E82" s="81">
        <f>+BALANCE!E839</f>
        <v>82054.717470000003</v>
      </c>
      <c r="F82" s="81">
        <f>+BALANCE!F839</f>
        <v>411672.34602</v>
      </c>
      <c r="G82" s="81">
        <f>+BALANCE!G839</f>
        <v>414246.40025000001</v>
      </c>
      <c r="H82" s="81">
        <f>+BALANCE!H839</f>
        <v>819897.06710999995</v>
      </c>
      <c r="I82" s="81">
        <f>+BALANCE!I839</f>
        <v>1645815.8133799999</v>
      </c>
      <c r="J82" s="81">
        <f>+BALANCE!J839</f>
        <v>1727870.53085</v>
      </c>
      <c r="K82" s="82">
        <f>+BALANCE!K839</f>
        <v>363639.52811999997</v>
      </c>
    </row>
    <row r="83" spans="1:11" ht="15" x14ac:dyDescent="0.25">
      <c r="A83" s="93">
        <v>77</v>
      </c>
      <c r="B83" s="20"/>
      <c r="C83" s="80"/>
      <c r="D83" s="22"/>
      <c r="E83" s="22"/>
      <c r="F83" s="22"/>
      <c r="G83" s="22"/>
      <c r="H83" s="22"/>
      <c r="I83" s="22"/>
      <c r="J83" s="22"/>
      <c r="K83" s="79"/>
    </row>
    <row r="84" spans="1:11" ht="15" x14ac:dyDescent="0.25">
      <c r="A84" s="93">
        <v>78</v>
      </c>
      <c r="B84" s="20"/>
      <c r="C84" s="80" t="str">
        <f>+BALANCE!C841</f>
        <v>TOTAL PASIVO Y PATRIMONIO</v>
      </c>
      <c r="D84" s="81">
        <f>+BALANCE!D841</f>
        <v>265548.31808</v>
      </c>
      <c r="E84" s="81">
        <f>+BALANCE!E841</f>
        <v>265548.31808</v>
      </c>
      <c r="F84" s="81">
        <f>+BALANCE!F841</f>
        <v>1341045.5928100001</v>
      </c>
      <c r="G84" s="81">
        <f>+BALANCE!G841</f>
        <v>1525548.6256299999</v>
      </c>
      <c r="H84" s="81">
        <f>+BALANCE!H841</f>
        <v>2160537.0641000001</v>
      </c>
      <c r="I84" s="81">
        <f>+BALANCE!I841</f>
        <v>5027131.28254</v>
      </c>
      <c r="J84" s="81">
        <f>+BALANCE!J841</f>
        <v>5292679.6006199997</v>
      </c>
      <c r="K84" s="82">
        <f>+BALANCE!K841</f>
        <v>403862.11407000001</v>
      </c>
    </row>
    <row r="85" spans="1:11" ht="15" x14ac:dyDescent="0.25">
      <c r="A85" s="93">
        <v>79</v>
      </c>
      <c r="B85" s="20"/>
      <c r="C85" s="80"/>
      <c r="D85" s="22"/>
      <c r="E85" s="22"/>
      <c r="F85" s="22"/>
      <c r="G85" s="22"/>
      <c r="H85" s="22"/>
      <c r="I85" s="22"/>
      <c r="J85" s="22"/>
      <c r="K85" s="79"/>
    </row>
    <row r="86" spans="1:11" ht="15" x14ac:dyDescent="0.25">
      <c r="A86" s="93">
        <v>80</v>
      </c>
      <c r="B86" s="20"/>
      <c r="C86" s="80" t="str">
        <f>+BALANCE!C843</f>
        <v>INGRESOS</v>
      </c>
      <c r="D86" s="81">
        <f>+BALANCE!D843</f>
        <v>17362.654569999999</v>
      </c>
      <c r="E86" s="81">
        <f>+BALANCE!E843</f>
        <v>17362.654569999999</v>
      </c>
      <c r="F86" s="81">
        <f>+BALANCE!F843</f>
        <v>58698.101289999999</v>
      </c>
      <c r="G86" s="81">
        <f>+BALANCE!G843</f>
        <v>94049.363310000001</v>
      </c>
      <c r="H86" s="81">
        <f>+BALANCE!H843</f>
        <v>168188.19795999999</v>
      </c>
      <c r="I86" s="81">
        <f>+BALANCE!I843</f>
        <v>320935.66255999997</v>
      </c>
      <c r="J86" s="81">
        <f>+BALANCE!J843</f>
        <v>338298.31712999998</v>
      </c>
      <c r="K86" s="82">
        <f>+BALANCE!K843</f>
        <v>13234.160910000001</v>
      </c>
    </row>
    <row r="87" spans="1:11" ht="15" x14ac:dyDescent="0.25">
      <c r="A87" s="93">
        <v>81</v>
      </c>
      <c r="B87" s="20"/>
      <c r="C87" s="80"/>
      <c r="D87" s="22"/>
      <c r="E87" s="22"/>
      <c r="F87" s="22"/>
      <c r="G87" s="22"/>
      <c r="H87" s="22"/>
      <c r="I87" s="22"/>
      <c r="J87" s="22"/>
      <c r="K87" s="79"/>
    </row>
    <row r="88" spans="1:11" ht="15" x14ac:dyDescent="0.25">
      <c r="A88" s="93">
        <v>82</v>
      </c>
      <c r="B88" s="25"/>
      <c r="C88" s="83" t="str">
        <f>+BALANCE!C845</f>
        <v>TOTAL PASIVO, PATRIMONIO E INGRESOS</v>
      </c>
      <c r="D88" s="84">
        <f>+BALANCE!D845</f>
        <v>282910.97265000001</v>
      </c>
      <c r="E88" s="84">
        <f>+BALANCE!E845</f>
        <v>282910.97265000001</v>
      </c>
      <c r="F88" s="84">
        <f>+BALANCE!F845</f>
        <v>1399743.6941</v>
      </c>
      <c r="G88" s="84">
        <f>+BALANCE!G845</f>
        <v>1619597.9889400001</v>
      </c>
      <c r="H88" s="84">
        <f>+BALANCE!H845</f>
        <v>2328725.2620600001</v>
      </c>
      <c r="I88" s="84">
        <f>+BALANCE!I845</f>
        <v>5348066.9451000001</v>
      </c>
      <c r="J88" s="84">
        <f>+BALANCE!J845</f>
        <v>5630977.91775</v>
      </c>
      <c r="K88" s="85">
        <f>+BALANCE!K845</f>
        <v>417096.27497999999</v>
      </c>
    </row>
    <row r="89" spans="1:11" ht="15" x14ac:dyDescent="0.25">
      <c r="A89" s="93">
        <v>83</v>
      </c>
      <c r="B89" s="20"/>
      <c r="C89" s="80"/>
      <c r="D89" s="22"/>
      <c r="E89" s="22"/>
      <c r="F89" s="22"/>
      <c r="G89" s="22"/>
      <c r="H89" s="22"/>
      <c r="I89" s="22"/>
      <c r="J89" s="22"/>
      <c r="K89" s="79"/>
    </row>
    <row r="90" spans="1:11" x14ac:dyDescent="0.2">
      <c r="A90" s="93">
        <v>84</v>
      </c>
      <c r="B90" s="20">
        <f>+BALANCE!B849</f>
        <v>6</v>
      </c>
      <c r="C90" s="78" t="str">
        <f>+BALANCE!C849</f>
        <v>CUENTAS CONTINGENTES</v>
      </c>
      <c r="D90" s="22">
        <f>+BALANCE!D849</f>
        <v>53809.300040000002</v>
      </c>
      <c r="E90" s="22">
        <f>+BALANCE!E849</f>
        <v>53809.300040000002</v>
      </c>
      <c r="F90" s="22">
        <f>+BALANCE!F849</f>
        <v>237139.88219999999</v>
      </c>
      <c r="G90" s="22">
        <f>+BALANCE!G849</f>
        <v>3293.6251299999999</v>
      </c>
      <c r="H90" s="22">
        <f>+BALANCE!H849</f>
        <v>55988.828780000003</v>
      </c>
      <c r="I90" s="22">
        <f>+BALANCE!I849</f>
        <v>296422.33610999997</v>
      </c>
      <c r="J90" s="22">
        <f>+BALANCE!J849</f>
        <v>350231.63614999998</v>
      </c>
      <c r="K90" s="79">
        <f>+BALANCE!K849</f>
        <v>98284.721919999996</v>
      </c>
    </row>
    <row r="91" spans="1:11" x14ac:dyDescent="0.2">
      <c r="A91" s="93">
        <v>85</v>
      </c>
      <c r="B91" s="20"/>
      <c r="C91" s="78"/>
      <c r="D91" s="22"/>
      <c r="E91" s="22"/>
      <c r="F91" s="22"/>
      <c r="G91" s="22"/>
      <c r="H91" s="22"/>
      <c r="I91" s="22"/>
      <c r="J91" s="22"/>
      <c r="K91" s="79"/>
    </row>
    <row r="92" spans="1:11" x14ac:dyDescent="0.2">
      <c r="A92" s="93">
        <v>86</v>
      </c>
      <c r="B92" s="25">
        <f>+BALANCE!B907</f>
        <v>7</v>
      </c>
      <c r="C92" s="70" t="str">
        <f>+BALANCE!C907</f>
        <v>CUENTAS DE ORDEN</v>
      </c>
      <c r="D92" s="27">
        <f>+BALANCE!D907</f>
        <v>932975.91813999997</v>
      </c>
      <c r="E92" s="27">
        <f>+BALANCE!E907</f>
        <v>932975.91813999997</v>
      </c>
      <c r="F92" s="27">
        <f>+BALANCE!F907</f>
        <v>685626.94169000001</v>
      </c>
      <c r="G92" s="27">
        <f>+BALANCE!G907</f>
        <v>4776244.6157200001</v>
      </c>
      <c r="H92" s="27">
        <f>+BALANCE!H907</f>
        <v>12187248.483890001</v>
      </c>
      <c r="I92" s="27">
        <f>+BALANCE!I907</f>
        <v>17649120.041299999</v>
      </c>
      <c r="J92" s="27">
        <f>+BALANCE!J907</f>
        <v>18582095.95944</v>
      </c>
      <c r="K92" s="86">
        <f>+BALANCE!K907</f>
        <v>60065.430670000002</v>
      </c>
    </row>
    <row r="94" spans="1:11" ht="15" x14ac:dyDescent="0.25">
      <c r="B94" s="13" t="s">
        <v>591</v>
      </c>
    </row>
    <row r="95" spans="1:11" ht="15" x14ac:dyDescent="0.25">
      <c r="B95" s="13" t="s">
        <v>592</v>
      </c>
    </row>
    <row r="96" spans="1:11" x14ac:dyDescent="0.2">
      <c r="B96" s="2"/>
    </row>
    <row r="97" spans="1:11" x14ac:dyDescent="0.2">
      <c r="B97" s="54" t="s">
        <v>740</v>
      </c>
      <c r="D97" s="71">
        <f>+D16-D17-D18-D19-D20-D21-D22-D23</f>
        <v>0</v>
      </c>
      <c r="E97" s="71">
        <f t="shared" ref="E97:K97" si="0">+E16-E17-E18-E19-E20-E21-E22-E23</f>
        <v>0</v>
      </c>
      <c r="F97" s="71">
        <f t="shared" si="0"/>
        <v>1.0186340659856796E-10</v>
      </c>
      <c r="G97" s="71">
        <f t="shared" si="0"/>
        <v>0</v>
      </c>
      <c r="H97" s="71">
        <f t="shared" si="0"/>
        <v>1.7462298274040222E-10</v>
      </c>
      <c r="I97" s="71">
        <f t="shared" si="0"/>
        <v>0</v>
      </c>
      <c r="J97" s="71">
        <f t="shared" si="0"/>
        <v>0</v>
      </c>
      <c r="K97" s="71">
        <f t="shared" si="0"/>
        <v>-2.5465851649641991E-11</v>
      </c>
    </row>
    <row r="98" spans="1:11" x14ac:dyDescent="0.2">
      <c r="B98" s="54" t="s">
        <v>741</v>
      </c>
      <c r="D98" s="71">
        <f>+D11-D12-D13-D14-D15</f>
        <v>-8.8906659811982536E-13</v>
      </c>
      <c r="E98" s="71">
        <f t="shared" ref="E98:K98" si="1">+E11-E12-E13-E14-E15</f>
        <v>-8.8906659811982536E-13</v>
      </c>
      <c r="F98" s="71">
        <f t="shared" si="1"/>
        <v>0</v>
      </c>
      <c r="G98" s="71">
        <f t="shared" si="1"/>
        <v>2.3646862246096134E-11</v>
      </c>
      <c r="H98" s="71">
        <f t="shared" si="1"/>
        <v>-1.3940848475613166E-11</v>
      </c>
      <c r="I98" s="71">
        <f t="shared" si="1"/>
        <v>1.0061285138363019E-10</v>
      </c>
      <c r="J98" s="71">
        <f t="shared" si="1"/>
        <v>1.1698375601554289E-10</v>
      </c>
      <c r="K98" s="71">
        <f t="shared" si="1"/>
        <v>0</v>
      </c>
    </row>
    <row r="99" spans="1:11" x14ac:dyDescent="0.2">
      <c r="B99" s="54" t="s">
        <v>742</v>
      </c>
      <c r="D99" s="71">
        <f>+D45-D46-D47-D48-D49-D50</f>
        <v>-1.4551915228366852E-11</v>
      </c>
      <c r="E99" s="71">
        <f t="shared" ref="E99:K99" si="2">+E45-E46-E47-E48-E49-E50</f>
        <v>-1.4551915228366852E-11</v>
      </c>
      <c r="F99" s="71">
        <f t="shared" si="2"/>
        <v>0</v>
      </c>
      <c r="G99" s="71">
        <f t="shared" si="2"/>
        <v>3.4333424991928041E-11</v>
      </c>
      <c r="H99" s="71">
        <f t="shared" si="2"/>
        <v>0</v>
      </c>
      <c r="I99" s="71">
        <f t="shared" si="2"/>
        <v>-2.56704879575409E-10</v>
      </c>
      <c r="J99" s="71">
        <f t="shared" si="2"/>
        <v>-4.6202330850064754E-10</v>
      </c>
      <c r="K99" s="71">
        <f t="shared" si="2"/>
        <v>0</v>
      </c>
    </row>
    <row r="100" spans="1:11" x14ac:dyDescent="0.2">
      <c r="B100" s="54" t="s">
        <v>743</v>
      </c>
      <c r="D100" s="71">
        <f>+D42-D88</f>
        <v>0</v>
      </c>
      <c r="E100" s="71">
        <f t="shared" ref="E100:K100" si="3">+E42-E88</f>
        <v>0</v>
      </c>
      <c r="F100" s="71">
        <f t="shared" si="3"/>
        <v>0</v>
      </c>
      <c r="G100" s="71">
        <f t="shared" si="3"/>
        <v>0</v>
      </c>
      <c r="H100" s="71">
        <f t="shared" si="3"/>
        <v>0</v>
      </c>
      <c r="I100" s="71">
        <f t="shared" si="3"/>
        <v>0</v>
      </c>
      <c r="J100" s="71">
        <f t="shared" si="3"/>
        <v>0</v>
      </c>
      <c r="K100" s="71">
        <f t="shared" si="3"/>
        <v>0</v>
      </c>
    </row>
    <row r="101" spans="1:11" s="87" customFormat="1" x14ac:dyDescent="0.2">
      <c r="A101" s="93"/>
      <c r="B101" s="29" t="s">
        <v>744</v>
      </c>
      <c r="D101" s="88">
        <f>+D38-D69-D82</f>
        <v>-5417.6589999999851</v>
      </c>
      <c r="E101" s="88">
        <f t="shared" ref="E101:K101" si="4">+E38-E69-E82</f>
        <v>-5417.6589999999851</v>
      </c>
      <c r="F101" s="88">
        <f t="shared" si="4"/>
        <v>36275.517439999909</v>
      </c>
      <c r="G101" s="88">
        <f t="shared" si="4"/>
        <v>-11016.225549999916</v>
      </c>
      <c r="H101" s="88">
        <f t="shared" si="4"/>
        <v>67075.481350000249</v>
      </c>
      <c r="I101" s="88">
        <f t="shared" si="4"/>
        <v>92334.773240000242</v>
      </c>
      <c r="J101" s="88">
        <f t="shared" si="4"/>
        <v>86917.114239999792</v>
      </c>
      <c r="K101" s="88">
        <f t="shared" si="4"/>
        <v>4469.0895900000469</v>
      </c>
    </row>
  </sheetData>
  <conditionalFormatting sqref="D97:K10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1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B1" sqref="B1"/>
    </sheetView>
  </sheetViews>
  <sheetFormatPr baseColWidth="10" defaultRowHeight="14.25" x14ac:dyDescent="0.2"/>
  <cols>
    <col min="1" max="1" width="6.140625" style="93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72" customFormat="1" x14ac:dyDescent="0.2">
      <c r="A1" s="166"/>
      <c r="B1" s="54"/>
      <c r="C1" s="54"/>
    </row>
    <row r="2" spans="1:11" s="72" customFormat="1" ht="15" x14ac:dyDescent="0.25">
      <c r="A2" s="166"/>
      <c r="B2" s="4" t="s">
        <v>745</v>
      </c>
      <c r="C2" s="54"/>
    </row>
    <row r="3" spans="1:11" s="72" customFormat="1" ht="15" x14ac:dyDescent="0.25">
      <c r="A3" s="166"/>
      <c r="B3" s="4" t="str">
        <f>+BALANCE!B3</f>
        <v>SISTEMA DE BANCA PUBLICA</v>
      </c>
      <c r="C3" s="54"/>
    </row>
    <row r="4" spans="1:11" s="72" customFormat="1" ht="15" x14ac:dyDescent="0.25">
      <c r="A4" s="166"/>
      <c r="B4" s="73">
        <f>+BALANCE!B4</f>
        <v>41182</v>
      </c>
      <c r="C4" s="54"/>
    </row>
    <row r="5" spans="1:11" s="72" customFormat="1" ht="15" x14ac:dyDescent="0.25">
      <c r="A5" s="166"/>
      <c r="B5" s="4" t="s">
        <v>2</v>
      </c>
      <c r="C5" s="54"/>
    </row>
    <row r="6" spans="1:11" s="72" customFormat="1" x14ac:dyDescent="0.2">
      <c r="A6" s="166"/>
      <c r="B6" s="54"/>
      <c r="C6" s="54"/>
    </row>
    <row r="7" spans="1:11" s="19" customFormat="1" ht="45" x14ac:dyDescent="0.25">
      <c r="A7" s="167">
        <v>1</v>
      </c>
      <c r="B7" s="16" t="s">
        <v>3</v>
      </c>
      <c r="C7" s="17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58" t="s">
        <v>12</v>
      </c>
    </row>
    <row r="8" spans="1:11" x14ac:dyDescent="0.2">
      <c r="A8" s="93">
        <v>2</v>
      </c>
      <c r="B8" s="74">
        <f>BALANCE!B8</f>
        <v>1</v>
      </c>
      <c r="C8" s="62" t="str">
        <f>BALANCE!C8</f>
        <v>ACTIVO</v>
      </c>
      <c r="D8" s="76"/>
      <c r="E8" s="76"/>
      <c r="F8" s="76"/>
      <c r="G8" s="76"/>
      <c r="H8" s="76"/>
      <c r="I8" s="76"/>
      <c r="J8" s="76"/>
      <c r="K8" s="77"/>
    </row>
    <row r="9" spans="1:11" x14ac:dyDescent="0.2">
      <c r="A9" s="93">
        <v>3</v>
      </c>
      <c r="B9" s="20">
        <f>BALANCE!B9</f>
        <v>11</v>
      </c>
      <c r="C9" s="21" t="str">
        <f>BALANCE!C9</f>
        <v>FONDOS DISPONIBLES</v>
      </c>
      <c r="D9" s="22">
        <f>BALANCE!D9</f>
        <v>20338.50459</v>
      </c>
      <c r="E9" s="22">
        <f>BALANCE!E9</f>
        <v>20338.50459</v>
      </c>
      <c r="F9" s="22">
        <f>BALANCE!F9</f>
        <v>174734.24729999999</v>
      </c>
      <c r="G9" s="22">
        <f>BALANCE!G9</f>
        <v>131056.78765</v>
      </c>
      <c r="H9" s="22">
        <f>BALANCE!H9</f>
        <v>28493.401320000001</v>
      </c>
      <c r="I9" s="22">
        <f>BALANCE!I9</f>
        <v>334284.43627000001</v>
      </c>
      <c r="J9" s="22">
        <f>BALANCE!J9</f>
        <v>354622.94086000003</v>
      </c>
      <c r="K9" s="79">
        <f>BALANCE!K9</f>
        <v>122183.12802</v>
      </c>
    </row>
    <row r="10" spans="1:11" x14ac:dyDescent="0.2">
      <c r="A10" s="93">
        <v>4</v>
      </c>
      <c r="B10" s="20">
        <f>BALANCE!B10</f>
        <v>1101</v>
      </c>
      <c r="C10" s="21" t="str">
        <f>BALANCE!C10</f>
        <v>Caja</v>
      </c>
      <c r="D10" s="22">
        <f>BALANCE!D10</f>
        <v>136.69560000000001</v>
      </c>
      <c r="E10" s="22">
        <f>BALANCE!E10</f>
        <v>136.69560000000001</v>
      </c>
      <c r="F10" s="22">
        <f>BALANCE!F10</f>
        <v>2.7850000000000001</v>
      </c>
      <c r="G10" s="22">
        <f>BALANCE!G10</f>
        <v>16034.4539</v>
      </c>
      <c r="H10" s="22">
        <f>BALANCE!H10</f>
        <v>32.73433</v>
      </c>
      <c r="I10" s="22">
        <f>BALANCE!I10</f>
        <v>16069.97323</v>
      </c>
      <c r="J10" s="22">
        <f>BALANCE!J10</f>
        <v>16206.668829999999</v>
      </c>
      <c r="K10" s="79">
        <f>BALANCE!K10</f>
        <v>0</v>
      </c>
    </row>
    <row r="11" spans="1:11" x14ac:dyDescent="0.2">
      <c r="A11" s="93">
        <v>5</v>
      </c>
      <c r="B11" s="20">
        <f>+BALANCE!B13</f>
        <v>1102</v>
      </c>
      <c r="C11" s="21" t="str">
        <f>+BALANCE!C13</f>
        <v>Depósitos para encaje</v>
      </c>
      <c r="D11" s="22">
        <f>+BALANCE!D13</f>
        <v>19833.320390000001</v>
      </c>
      <c r="E11" s="22">
        <f>+BALANCE!E13</f>
        <v>19833.320390000001</v>
      </c>
      <c r="F11" s="22">
        <f>+BALANCE!F13</f>
        <v>0</v>
      </c>
      <c r="G11" s="22">
        <f>+BALANCE!G13</f>
        <v>76460.049029999995</v>
      </c>
      <c r="H11" s="22">
        <f>+BALANCE!H13</f>
        <v>10.03609</v>
      </c>
      <c r="I11" s="22">
        <f>+BALANCE!I13</f>
        <v>76470.085119999989</v>
      </c>
      <c r="J11" s="22">
        <f>+BALANCE!J13</f>
        <v>96303.405509999982</v>
      </c>
      <c r="K11" s="79">
        <f>+BALANCE!K13</f>
        <v>0</v>
      </c>
    </row>
    <row r="12" spans="1:11" x14ac:dyDescent="0.2">
      <c r="A12" s="93">
        <v>6</v>
      </c>
      <c r="B12" s="20">
        <f>+BALANCE!B17</f>
        <v>1103</v>
      </c>
      <c r="C12" s="21" t="str">
        <f>+BALANCE!C17</f>
        <v>Bancos y otras instituciones financieras</v>
      </c>
      <c r="D12" s="22">
        <f>+BALANCE!D17</f>
        <v>28.581109999999999</v>
      </c>
      <c r="E12" s="22">
        <f>+BALANCE!E17</f>
        <v>28.581109999999999</v>
      </c>
      <c r="F12" s="22">
        <f>+BALANCE!F17</f>
        <v>174731.46230000001</v>
      </c>
      <c r="G12" s="22">
        <f>+BALANCE!G17</f>
        <v>36410.580070000004</v>
      </c>
      <c r="H12" s="22">
        <f>+BALANCE!H17</f>
        <v>21303.198619999999</v>
      </c>
      <c r="I12" s="22">
        <f>+BALANCE!I17</f>
        <v>232445.24099000002</v>
      </c>
      <c r="J12" s="22">
        <f>+BALANCE!J17</f>
        <v>232473.82210000002</v>
      </c>
      <c r="K12" s="79">
        <f>+BALANCE!K17</f>
        <v>122183.12802</v>
      </c>
    </row>
    <row r="13" spans="1:11" x14ac:dyDescent="0.2">
      <c r="A13" s="93">
        <v>7</v>
      </c>
      <c r="B13" s="20">
        <f>+BALANCE!B21</f>
        <v>1104</v>
      </c>
      <c r="C13" s="21" t="str">
        <f>+BALANCE!C21</f>
        <v>Efectos de cobro inmediato</v>
      </c>
      <c r="D13" s="22">
        <f>+BALANCE!D21</f>
        <v>339.90749</v>
      </c>
      <c r="E13" s="22">
        <f>+BALANCE!E21</f>
        <v>339.90749</v>
      </c>
      <c r="F13" s="22">
        <f>+BALANCE!F21</f>
        <v>0</v>
      </c>
      <c r="G13" s="22">
        <f>+BALANCE!G21</f>
        <v>1327.4398200000001</v>
      </c>
      <c r="H13" s="22">
        <f>+BALANCE!H21</f>
        <v>7147.43228</v>
      </c>
      <c r="I13" s="22">
        <f>+BALANCE!I21</f>
        <v>8474.8721000000005</v>
      </c>
      <c r="J13" s="22">
        <f>+BALANCE!J21</f>
        <v>8814.7795900000001</v>
      </c>
      <c r="K13" s="79">
        <f>+BALANCE!K21</f>
        <v>0</v>
      </c>
    </row>
    <row r="14" spans="1:11" x14ac:dyDescent="0.2">
      <c r="A14" s="93">
        <v>8</v>
      </c>
      <c r="B14" s="20">
        <f>+BALANCE!B22</f>
        <v>1105</v>
      </c>
      <c r="C14" s="21" t="str">
        <f>+BALANCE!C22</f>
        <v>Remesas en tránsito</v>
      </c>
      <c r="D14" s="22">
        <f>+BALANCE!D22</f>
        <v>0</v>
      </c>
      <c r="E14" s="22">
        <f>+BALANCE!E22</f>
        <v>0</v>
      </c>
      <c r="F14" s="22">
        <f>+BALANCE!F22</f>
        <v>0</v>
      </c>
      <c r="G14" s="22">
        <f>+BALANCE!G22</f>
        <v>824.26482999999996</v>
      </c>
      <c r="H14" s="22">
        <f>+BALANCE!H22</f>
        <v>0</v>
      </c>
      <c r="I14" s="22">
        <f>+BALANCE!I22</f>
        <v>824.26482999999996</v>
      </c>
      <c r="J14" s="22">
        <f>+BALANCE!J22</f>
        <v>824.26482999999996</v>
      </c>
      <c r="K14" s="79">
        <f>+BALANCE!K22</f>
        <v>0</v>
      </c>
    </row>
    <row r="15" spans="1:11" x14ac:dyDescent="0.2">
      <c r="A15" s="93">
        <v>9</v>
      </c>
      <c r="B15" s="20">
        <f>+BALANCE!B25</f>
        <v>12</v>
      </c>
      <c r="C15" s="21" t="str">
        <f>+BALANCE!C25</f>
        <v>OPERACIONES INTERBANCARIAS</v>
      </c>
      <c r="D15" s="22">
        <f>+BALANCE!D25</f>
        <v>0</v>
      </c>
      <c r="E15" s="22">
        <f>+BALANCE!E25</f>
        <v>0</v>
      </c>
      <c r="F15" s="22">
        <f>+BALANCE!F25</f>
        <v>0</v>
      </c>
      <c r="G15" s="22">
        <f>+BALANCE!G25</f>
        <v>0</v>
      </c>
      <c r="H15" s="22">
        <f>+BALANCE!H25</f>
        <v>0</v>
      </c>
      <c r="I15" s="22">
        <f>+BALANCE!I25</f>
        <v>0</v>
      </c>
      <c r="J15" s="22">
        <f>+BALANCE!J25</f>
        <v>0</v>
      </c>
      <c r="K15" s="79">
        <f>+BALANCE!K25</f>
        <v>0</v>
      </c>
    </row>
    <row r="16" spans="1:11" x14ac:dyDescent="0.2">
      <c r="A16" s="93">
        <v>10</v>
      </c>
      <c r="B16" s="20">
        <f>+BALANCE!B33</f>
        <v>1299</v>
      </c>
      <c r="C16" s="21" t="str">
        <f>+BALANCE!C33</f>
        <v>(Provisión para operaciones interbancarias y de reporto)</v>
      </c>
      <c r="D16" s="22">
        <f>+BALANCE!D33</f>
        <v>0</v>
      </c>
      <c r="E16" s="22">
        <f>+BALANCE!E33</f>
        <v>0</v>
      </c>
      <c r="F16" s="22">
        <f>+BALANCE!F33</f>
        <v>0</v>
      </c>
      <c r="G16" s="22">
        <f>+BALANCE!G33</f>
        <v>0</v>
      </c>
      <c r="H16" s="22">
        <f>+BALANCE!H33</f>
        <v>0</v>
      </c>
      <c r="I16" s="22">
        <f>+BALANCE!I33</f>
        <v>0</v>
      </c>
      <c r="J16" s="22">
        <f>+BALANCE!J33</f>
        <v>0</v>
      </c>
      <c r="K16" s="79">
        <f>+BALANCE!K33</f>
        <v>0</v>
      </c>
    </row>
    <row r="17" spans="1:11" x14ac:dyDescent="0.2">
      <c r="A17" s="93">
        <v>11</v>
      </c>
      <c r="B17" s="20">
        <f>+BALANCE!B34</f>
        <v>13</v>
      </c>
      <c r="C17" s="21" t="str">
        <f>+BALANCE!C34</f>
        <v>INVERSIONES</v>
      </c>
      <c r="D17" s="22">
        <f>+BALANCE!D34</f>
        <v>25238.107919999999</v>
      </c>
      <c r="E17" s="22">
        <f>+BALANCE!E34</f>
        <v>25238.107919999999</v>
      </c>
      <c r="F17" s="22">
        <f>+BALANCE!F34</f>
        <v>179922.13545</v>
      </c>
      <c r="G17" s="22">
        <f>+BALANCE!G34</f>
        <v>289925.89643000002</v>
      </c>
      <c r="H17" s="22">
        <f>+BALANCE!H34</f>
        <v>436885.92852999998</v>
      </c>
      <c r="I17" s="22">
        <f>+BALANCE!I34</f>
        <v>906733.96041000006</v>
      </c>
      <c r="J17" s="22">
        <f>+BALANCE!J34</f>
        <v>931972.06833000004</v>
      </c>
      <c r="K17" s="79">
        <f>+BALANCE!K34</f>
        <v>0</v>
      </c>
    </row>
    <row r="18" spans="1:11" x14ac:dyDescent="0.2">
      <c r="A18" s="93">
        <v>12</v>
      </c>
      <c r="B18" s="20">
        <f>+BALANCE!B35</f>
        <v>1301</v>
      </c>
      <c r="C18" s="21" t="str">
        <f>+BALANCE!C35</f>
        <v>A valor razonable con cambios en el estado de resultados de entidades del sector privado</v>
      </c>
      <c r="D18" s="22">
        <f>+BALANCE!D35</f>
        <v>0</v>
      </c>
      <c r="E18" s="22">
        <f>+BALANCE!E35</f>
        <v>0</v>
      </c>
      <c r="F18" s="22">
        <f>+BALANCE!F35</f>
        <v>0</v>
      </c>
      <c r="G18" s="22">
        <f>+BALANCE!G35</f>
        <v>0</v>
      </c>
      <c r="H18" s="22">
        <f>+BALANCE!H35</f>
        <v>0</v>
      </c>
      <c r="I18" s="22">
        <f>+BALANCE!I35</f>
        <v>0</v>
      </c>
      <c r="J18" s="22">
        <f>+BALANCE!J35</f>
        <v>0</v>
      </c>
      <c r="K18" s="79">
        <f>+BALANCE!K35</f>
        <v>0</v>
      </c>
    </row>
    <row r="19" spans="1:11" x14ac:dyDescent="0.2">
      <c r="A19" s="93">
        <v>13</v>
      </c>
      <c r="B19" s="20">
        <f>+BALANCE!B41</f>
        <v>1302</v>
      </c>
      <c r="C19" s="21" t="str">
        <f>+BALANCE!C41</f>
        <v>Avalor razonable con cambios en el estado de resultados del Estado o de entidades del sector público</v>
      </c>
      <c r="D19" s="22">
        <f>+BALANCE!D41</f>
        <v>0</v>
      </c>
      <c r="E19" s="22">
        <f>+BALANCE!E41</f>
        <v>0</v>
      </c>
      <c r="F19" s="22">
        <f>+BALANCE!F41</f>
        <v>0</v>
      </c>
      <c r="G19" s="22">
        <f>+BALANCE!G41</f>
        <v>0</v>
      </c>
      <c r="H19" s="22">
        <f>+BALANCE!H41</f>
        <v>0</v>
      </c>
      <c r="I19" s="22">
        <f>+BALANCE!I41</f>
        <v>0</v>
      </c>
      <c r="J19" s="22">
        <f>+BALANCE!J41</f>
        <v>0</v>
      </c>
      <c r="K19" s="79">
        <f>+BALANCE!K41</f>
        <v>0</v>
      </c>
    </row>
    <row r="20" spans="1:11" x14ac:dyDescent="0.2">
      <c r="A20" s="93">
        <v>14</v>
      </c>
      <c r="B20" s="20">
        <f>+BALANCE!B47</f>
        <v>1303</v>
      </c>
      <c r="C20" s="21" t="str">
        <f>+BALANCE!C47</f>
        <v>Disponibles para la venta de entidades del sector privado</v>
      </c>
      <c r="D20" s="22">
        <f>+BALANCE!D47</f>
        <v>20679.47251</v>
      </c>
      <c r="E20" s="22">
        <f>+BALANCE!E47</f>
        <v>20679.47251</v>
      </c>
      <c r="F20" s="22">
        <f>+BALANCE!F47</f>
        <v>0</v>
      </c>
      <c r="G20" s="22">
        <f>+BALANCE!G47</f>
        <v>58225.52794</v>
      </c>
      <c r="H20" s="22">
        <f>+BALANCE!H47</f>
        <v>209949.80035</v>
      </c>
      <c r="I20" s="22">
        <f>+BALANCE!I47</f>
        <v>268175.32828999998</v>
      </c>
      <c r="J20" s="22">
        <f>+BALANCE!J47</f>
        <v>288854.80079999997</v>
      </c>
      <c r="K20" s="79">
        <f>+BALANCE!K47</f>
        <v>0</v>
      </c>
    </row>
    <row r="21" spans="1:11" x14ac:dyDescent="0.2">
      <c r="A21" s="93">
        <v>15</v>
      </c>
      <c r="B21" s="20">
        <f>+BALANCE!B53</f>
        <v>1304</v>
      </c>
      <c r="C21" s="21" t="str">
        <f>+BALANCE!C53</f>
        <v>Disponibles para la venta del Estado o de entidades del sector público</v>
      </c>
      <c r="D21" s="22">
        <f>+BALANCE!D53</f>
        <v>4504.2066100000002</v>
      </c>
      <c r="E21" s="22">
        <f>+BALANCE!E53</f>
        <v>4504.2066100000002</v>
      </c>
      <c r="F21" s="22">
        <f>+BALANCE!F53</f>
        <v>54922.675199999998</v>
      </c>
      <c r="G21" s="22">
        <f>+BALANCE!G53</f>
        <v>214249.68096</v>
      </c>
      <c r="H21" s="22">
        <f>+BALANCE!H53</f>
        <v>151308.98392</v>
      </c>
      <c r="I21" s="22">
        <f>+BALANCE!I53</f>
        <v>420481.34007999999</v>
      </c>
      <c r="J21" s="22">
        <f>+BALANCE!J53</f>
        <v>424985.54668999999</v>
      </c>
      <c r="K21" s="79">
        <f>+BALANCE!K53</f>
        <v>0</v>
      </c>
    </row>
    <row r="22" spans="1:11" x14ac:dyDescent="0.2">
      <c r="A22" s="93">
        <v>16</v>
      </c>
      <c r="B22" s="20">
        <f>+BALANCE!B59</f>
        <v>1305</v>
      </c>
      <c r="C22" s="21" t="str">
        <f>+BALANCE!C59</f>
        <v>Mantenidas hasta el vencimiento de entidades del sector privado</v>
      </c>
      <c r="D22" s="22">
        <f>+BALANCE!D59</f>
        <v>54.978700000000003</v>
      </c>
      <c r="E22" s="22">
        <f>+BALANCE!E59</f>
        <v>54.978700000000003</v>
      </c>
      <c r="F22" s="22">
        <f>+BALANCE!F59</f>
        <v>0</v>
      </c>
      <c r="G22" s="22">
        <f>+BALANCE!G59</f>
        <v>0</v>
      </c>
      <c r="H22" s="22">
        <f>+BALANCE!H59</f>
        <v>5030.2044800000003</v>
      </c>
      <c r="I22" s="22">
        <f>+BALANCE!I59</f>
        <v>5030.2044800000003</v>
      </c>
      <c r="J22" s="22">
        <f>+BALANCE!J59</f>
        <v>5085.18318</v>
      </c>
      <c r="K22" s="79">
        <f>+BALANCE!K59</f>
        <v>0</v>
      </c>
    </row>
    <row r="23" spans="1:11" x14ac:dyDescent="0.2">
      <c r="A23" s="93">
        <v>17</v>
      </c>
      <c r="B23" s="20">
        <f>+BALANCE!B68</f>
        <v>1306</v>
      </c>
      <c r="C23" s="21" t="str">
        <f>+BALANCE!C68</f>
        <v>Mantenidas hasta su vencimiento del Estado o de entidades del sector público</v>
      </c>
      <c r="D23" s="22">
        <f>+BALANCE!D68</f>
        <v>0</v>
      </c>
      <c r="E23" s="22">
        <f>+BALANCE!E68</f>
        <v>0</v>
      </c>
      <c r="F23" s="22">
        <f>+BALANCE!F68</f>
        <v>107499.51647</v>
      </c>
      <c r="G23" s="22">
        <f>+BALANCE!G68</f>
        <v>0</v>
      </c>
      <c r="H23" s="22">
        <f>+BALANCE!H68</f>
        <v>0</v>
      </c>
      <c r="I23" s="22">
        <f>+BALANCE!I68</f>
        <v>107499.51647</v>
      </c>
      <c r="J23" s="22">
        <f>+BALANCE!J68</f>
        <v>107499.51647</v>
      </c>
      <c r="K23" s="79">
        <f>+BALANCE!K68</f>
        <v>0</v>
      </c>
    </row>
    <row r="24" spans="1:11" x14ac:dyDescent="0.2">
      <c r="A24" s="93">
        <v>18</v>
      </c>
      <c r="B24" s="20">
        <f>+BALANCE!B77</f>
        <v>1307</v>
      </c>
      <c r="C24" s="21" t="str">
        <f>+BALANCE!C77</f>
        <v>De disponibilidad restringida</v>
      </c>
      <c r="D24" s="22">
        <f>+BALANCE!D77</f>
        <v>0</v>
      </c>
      <c r="E24" s="22">
        <f>+BALANCE!E77</f>
        <v>0</v>
      </c>
      <c r="F24" s="22">
        <f>+BALANCE!F77</f>
        <v>17499.943780000001</v>
      </c>
      <c r="G24" s="22">
        <f>+BALANCE!G77</f>
        <v>18044.416000000001</v>
      </c>
      <c r="H24" s="22">
        <f>+BALANCE!H77</f>
        <v>70655</v>
      </c>
      <c r="I24" s="22">
        <f>+BALANCE!I77</f>
        <v>106199.35978</v>
      </c>
      <c r="J24" s="22">
        <f>+BALANCE!J77</f>
        <v>106199.35978</v>
      </c>
      <c r="K24" s="79">
        <f>+BALANCE!K77</f>
        <v>0</v>
      </c>
    </row>
    <row r="25" spans="1:11" x14ac:dyDescent="0.2">
      <c r="A25" s="93">
        <v>19</v>
      </c>
      <c r="B25" s="20">
        <f>+BALANCE!B83</f>
        <v>1399</v>
      </c>
      <c r="C25" s="21" t="str">
        <f>+BALANCE!C83</f>
        <v>(Provisión para inversiones)</v>
      </c>
      <c r="D25" s="22">
        <f>+BALANCE!D83</f>
        <v>-0.54990000000000006</v>
      </c>
      <c r="E25" s="22">
        <f>+BALANCE!E83</f>
        <v>-0.54990000000000006</v>
      </c>
      <c r="F25" s="22">
        <f>+BALANCE!F83</f>
        <v>0</v>
      </c>
      <c r="G25" s="22">
        <f>+BALANCE!G83</f>
        <v>-593.72847000000002</v>
      </c>
      <c r="H25" s="22">
        <f>+BALANCE!H83</f>
        <v>-58.060220000000001</v>
      </c>
      <c r="I25" s="22">
        <f>+BALANCE!I83</f>
        <v>-651.78868999999997</v>
      </c>
      <c r="J25" s="22">
        <f>+BALANCE!J83</f>
        <v>-652.33858999999995</v>
      </c>
      <c r="K25" s="79">
        <f>+BALANCE!K83</f>
        <v>0</v>
      </c>
    </row>
    <row r="26" spans="1:11" x14ac:dyDescent="0.2">
      <c r="A26" s="93">
        <v>20</v>
      </c>
      <c r="B26" s="20">
        <f>+BALANCE!B84</f>
        <v>139905</v>
      </c>
      <c r="C26" s="21" t="str">
        <f>+BALANCE!C84</f>
        <v>(Provisión para valuación de inversiones)</v>
      </c>
      <c r="D26" s="22">
        <f>+BALANCE!D84</f>
        <v>-0.54990000000000006</v>
      </c>
      <c r="E26" s="22">
        <f>+BALANCE!E84</f>
        <v>-0.54990000000000006</v>
      </c>
      <c r="F26" s="22">
        <f>+BALANCE!F84</f>
        <v>0</v>
      </c>
      <c r="G26" s="22">
        <f>+BALANCE!G84</f>
        <v>0</v>
      </c>
      <c r="H26" s="22">
        <f>+BALANCE!H84</f>
        <v>-58.060220000000001</v>
      </c>
      <c r="I26" s="22">
        <f>+BALANCE!I84</f>
        <v>-58.060220000000001</v>
      </c>
      <c r="J26" s="22">
        <f>+BALANCE!J84</f>
        <v>-58.610120000000002</v>
      </c>
      <c r="K26" s="79">
        <f>+BALANCE!K84</f>
        <v>0</v>
      </c>
    </row>
    <row r="27" spans="1:11" x14ac:dyDescent="0.2">
      <c r="A27" s="93">
        <v>21</v>
      </c>
      <c r="B27" s="20">
        <f>+BALANCE!B85</f>
        <v>139910</v>
      </c>
      <c r="C27" s="21" t="str">
        <f>+BALANCE!C85</f>
        <v>(Provisión general para inversiones)</v>
      </c>
      <c r="D27" s="22">
        <f>+BALANCE!D85</f>
        <v>0</v>
      </c>
      <c r="E27" s="22">
        <f>+BALANCE!E85</f>
        <v>0</v>
      </c>
      <c r="F27" s="22">
        <f>+BALANCE!F85</f>
        <v>0</v>
      </c>
      <c r="G27" s="22">
        <f>+BALANCE!G85</f>
        <v>-593.72847000000002</v>
      </c>
      <c r="H27" s="22">
        <f>+BALANCE!H85</f>
        <v>0</v>
      </c>
      <c r="I27" s="22">
        <f>+BALANCE!I85</f>
        <v>-593.72847000000002</v>
      </c>
      <c r="J27" s="22">
        <f>+BALANCE!J85</f>
        <v>-593.72847000000002</v>
      </c>
      <c r="K27" s="79">
        <f>+BALANCE!K85</f>
        <v>0</v>
      </c>
    </row>
    <row r="28" spans="1:11" x14ac:dyDescent="0.2">
      <c r="A28" s="93">
        <v>22</v>
      </c>
      <c r="B28" s="20">
        <f>+BALANCE!B86</f>
        <v>14</v>
      </c>
      <c r="C28" s="21" t="str">
        <f>+BALANCE!C86</f>
        <v>CARTERA DE CREDITOS</v>
      </c>
      <c r="D28" s="22">
        <f>+BALANCE!D86</f>
        <v>171838.32339999999</v>
      </c>
      <c r="E28" s="22">
        <f>+BALANCE!E86</f>
        <v>171838.32339999999</v>
      </c>
      <c r="F28" s="22">
        <f>+BALANCE!F86</f>
        <v>936618.43749000004</v>
      </c>
      <c r="G28" s="22">
        <f>+BALANCE!G86</f>
        <v>818648.83354999998</v>
      </c>
      <c r="H28" s="22">
        <f>+BALANCE!H86</f>
        <v>1121186.24346</v>
      </c>
      <c r="I28" s="22">
        <f>+BALANCE!I86</f>
        <v>2876453.5145</v>
      </c>
      <c r="J28" s="22">
        <f>+BALANCE!J86</f>
        <v>3048291.8379000002</v>
      </c>
      <c r="K28" s="79">
        <f>+BALANCE!K86</f>
        <v>273453.80021999998</v>
      </c>
    </row>
    <row r="29" spans="1:11" x14ac:dyDescent="0.2">
      <c r="A29" s="93">
        <v>23</v>
      </c>
      <c r="B29" s="20">
        <f>+BALANCE!B87</f>
        <v>1401</v>
      </c>
      <c r="C29" s="21" t="str">
        <f>+BALANCE!C87</f>
        <v>Cartera de créditos comercial por vencer</v>
      </c>
      <c r="D29" s="22">
        <f>+BALANCE!D87</f>
        <v>148524.22487000001</v>
      </c>
      <c r="E29" s="22">
        <f>+BALANCE!E87</f>
        <v>148524.22487000001</v>
      </c>
      <c r="F29" s="22">
        <f>+BALANCE!F87</f>
        <v>0</v>
      </c>
      <c r="G29" s="22">
        <f>+BALANCE!G87</f>
        <v>483772.24086999998</v>
      </c>
      <c r="H29" s="22">
        <f>+BALANCE!H87</f>
        <v>1085659.95013</v>
      </c>
      <c r="I29" s="22">
        <f>+BALANCE!I87</f>
        <v>1569432.1910000001</v>
      </c>
      <c r="J29" s="22">
        <f>+BALANCE!J87</f>
        <v>1717956.4158700001</v>
      </c>
      <c r="K29" s="79">
        <f>+BALANCE!K87</f>
        <v>0</v>
      </c>
    </row>
    <row r="30" spans="1:11" x14ac:dyDescent="0.2">
      <c r="A30" s="93">
        <v>24</v>
      </c>
      <c r="B30" s="20">
        <f>+BALANCE!B93</f>
        <v>1402</v>
      </c>
      <c r="C30" s="21" t="str">
        <f>+BALANCE!C93</f>
        <v>Cartera de créditos de consumo por vencer</v>
      </c>
      <c r="D30" s="22">
        <f>+BALANCE!D93</f>
        <v>0</v>
      </c>
      <c r="E30" s="22">
        <f>+BALANCE!E93</f>
        <v>0</v>
      </c>
      <c r="F30" s="22">
        <f>+BALANCE!F93</f>
        <v>0</v>
      </c>
      <c r="G30" s="22">
        <f>+BALANCE!G93</f>
        <v>26875.976200000001</v>
      </c>
      <c r="H30" s="22">
        <f>+BALANCE!H93</f>
        <v>0</v>
      </c>
      <c r="I30" s="22">
        <f>+BALANCE!I93</f>
        <v>26875.976200000001</v>
      </c>
      <c r="J30" s="22">
        <f>+BALANCE!J93</f>
        <v>26875.976200000001</v>
      </c>
      <c r="K30" s="79">
        <f>+BALANCE!K93</f>
        <v>0</v>
      </c>
    </row>
    <row r="31" spans="1:11" x14ac:dyDescent="0.2">
      <c r="A31" s="93">
        <v>25</v>
      </c>
      <c r="B31" s="20">
        <f>+BALANCE!B99</f>
        <v>1403</v>
      </c>
      <c r="C31" s="21" t="str">
        <f>+BALANCE!C99</f>
        <v>Cartera de créditos de vivienda por vencer</v>
      </c>
      <c r="D31" s="22">
        <f>+BALANCE!D99</f>
        <v>11717.34239</v>
      </c>
      <c r="E31" s="22">
        <f>+BALANCE!E99</f>
        <v>11717.34239</v>
      </c>
      <c r="F31" s="22">
        <f>+BALANCE!F99</f>
        <v>0</v>
      </c>
      <c r="G31" s="22">
        <f>+BALANCE!G99</f>
        <v>0</v>
      </c>
      <c r="H31" s="22">
        <f>+BALANCE!H99</f>
        <v>0</v>
      </c>
      <c r="I31" s="22">
        <f>+BALANCE!I99</f>
        <v>0</v>
      </c>
      <c r="J31" s="22">
        <f>+BALANCE!J99</f>
        <v>11717.34239</v>
      </c>
      <c r="K31" s="79">
        <f>+BALANCE!K99</f>
        <v>0</v>
      </c>
    </row>
    <row r="32" spans="1:11" x14ac:dyDescent="0.2">
      <c r="A32" s="93">
        <v>26</v>
      </c>
      <c r="B32" s="20">
        <f>+BALANCE!B105</f>
        <v>1404</v>
      </c>
      <c r="C32" s="21" t="str">
        <f>+BALANCE!C105</f>
        <v>Cartera de créditos para la microempresa por vencer</v>
      </c>
      <c r="D32" s="22">
        <f>+BALANCE!D105</f>
        <v>0</v>
      </c>
      <c r="E32" s="22">
        <f>+BALANCE!E105</f>
        <v>0</v>
      </c>
      <c r="F32" s="22">
        <f>+BALANCE!F105</f>
        <v>0</v>
      </c>
      <c r="G32" s="22">
        <f>+BALANCE!G105</f>
        <v>250092.33090999999</v>
      </c>
      <c r="H32" s="22">
        <f>+BALANCE!H105</f>
        <v>26730.865440000001</v>
      </c>
      <c r="I32" s="22">
        <f>+BALANCE!I105</f>
        <v>276823.19634999998</v>
      </c>
      <c r="J32" s="22">
        <f>+BALANCE!J105</f>
        <v>276823.19634999998</v>
      </c>
      <c r="K32" s="79">
        <f>+BALANCE!K105</f>
        <v>0</v>
      </c>
    </row>
    <row r="33" spans="1:11" x14ac:dyDescent="0.2">
      <c r="A33" s="93">
        <v>27</v>
      </c>
      <c r="B33" s="20">
        <f>+BALANCE!B111</f>
        <v>1405</v>
      </c>
      <c r="C33" s="21" t="str">
        <f>+BALANCE!C111</f>
        <v>Cartera de crédito educativo por vencer</v>
      </c>
      <c r="D33" s="22">
        <f>+BALANCE!D111</f>
        <v>0</v>
      </c>
      <c r="E33" s="22">
        <f>+BALANCE!E111</f>
        <v>0</v>
      </c>
      <c r="F33" s="22">
        <f>+BALANCE!F111</f>
        <v>0</v>
      </c>
      <c r="G33" s="22">
        <f>+BALANCE!G111</f>
        <v>0</v>
      </c>
      <c r="H33" s="22">
        <f>+BALANCE!H111</f>
        <v>0</v>
      </c>
      <c r="I33" s="22">
        <f>+BALANCE!I111</f>
        <v>0</v>
      </c>
      <c r="J33" s="22">
        <f>+BALANCE!J111</f>
        <v>0</v>
      </c>
      <c r="K33" s="79">
        <f>+BALANCE!K111</f>
        <v>257687.12669</v>
      </c>
    </row>
    <row r="34" spans="1:11" x14ac:dyDescent="0.2">
      <c r="A34" s="93">
        <v>28</v>
      </c>
      <c r="B34" s="20">
        <f>+BALANCE!B117</f>
        <v>1406</v>
      </c>
      <c r="C34" s="21" t="str">
        <f>+BALANCE!C117</f>
        <v>Cartera de créditos de inversión pública por vencer</v>
      </c>
      <c r="D34" s="22">
        <f>+BALANCE!D117</f>
        <v>0</v>
      </c>
      <c r="E34" s="22">
        <f>+BALANCE!E117</f>
        <v>0</v>
      </c>
      <c r="F34" s="22">
        <f>+BALANCE!F117</f>
        <v>947585.53266999999</v>
      </c>
      <c r="G34" s="22">
        <f>+BALANCE!G117</f>
        <v>0</v>
      </c>
      <c r="H34" s="22">
        <f>+BALANCE!H117</f>
        <v>0</v>
      </c>
      <c r="I34" s="22">
        <f>+BALANCE!I117</f>
        <v>947585.53266999999</v>
      </c>
      <c r="J34" s="22">
        <f>+BALANCE!J117</f>
        <v>947585.53266999999</v>
      </c>
      <c r="K34" s="79">
        <f>+BALANCE!K117</f>
        <v>0</v>
      </c>
    </row>
    <row r="35" spans="1:11" x14ac:dyDescent="0.2">
      <c r="A35" s="93">
        <v>29</v>
      </c>
      <c r="B35" s="20">
        <f>+BALANCE!B123</f>
        <v>1409</v>
      </c>
      <c r="C35" s="21" t="str">
        <f>+BALANCE!C123</f>
        <v>Cartera de créditos comercial refinanciada por vencer</v>
      </c>
      <c r="D35" s="22">
        <f>+BALANCE!D123</f>
        <v>755.70586000000003</v>
      </c>
      <c r="E35" s="22">
        <f>+BALANCE!E123</f>
        <v>755.70586000000003</v>
      </c>
      <c r="F35" s="22">
        <f>+BALANCE!F123</f>
        <v>0</v>
      </c>
      <c r="G35" s="22">
        <f>+BALANCE!G123</f>
        <v>0</v>
      </c>
      <c r="H35" s="22">
        <f>+BALANCE!H123</f>
        <v>0</v>
      </c>
      <c r="I35" s="22">
        <f>+BALANCE!I123</f>
        <v>0</v>
      </c>
      <c r="J35" s="22">
        <f>+BALANCE!J123</f>
        <v>755.70586000000003</v>
      </c>
      <c r="K35" s="79">
        <f>+BALANCE!K123</f>
        <v>0</v>
      </c>
    </row>
    <row r="36" spans="1:11" x14ac:dyDescent="0.2">
      <c r="A36" s="93">
        <v>30</v>
      </c>
      <c r="B36" s="20">
        <f>+BALANCE!B129</f>
        <v>1410</v>
      </c>
      <c r="C36" s="21" t="str">
        <f>+BALANCE!C129</f>
        <v>Cartera de créditos de consumo refinanciada por vencer</v>
      </c>
      <c r="D36" s="22">
        <f>+BALANCE!D129</f>
        <v>0</v>
      </c>
      <c r="E36" s="22">
        <f>+BALANCE!E129</f>
        <v>0</v>
      </c>
      <c r="F36" s="22">
        <f>+BALANCE!F129</f>
        <v>0</v>
      </c>
      <c r="G36" s="22">
        <f>+BALANCE!G129</f>
        <v>0</v>
      </c>
      <c r="H36" s="22">
        <f>+BALANCE!H129</f>
        <v>0</v>
      </c>
      <c r="I36" s="22">
        <f>+BALANCE!I129</f>
        <v>0</v>
      </c>
      <c r="J36" s="22">
        <f>+BALANCE!J129</f>
        <v>0</v>
      </c>
      <c r="K36" s="79">
        <f>+BALANCE!K129</f>
        <v>0</v>
      </c>
    </row>
    <row r="37" spans="1:11" x14ac:dyDescent="0.2">
      <c r="A37" s="93">
        <v>31</v>
      </c>
      <c r="B37" s="20">
        <f>+BALANCE!B135</f>
        <v>1411</v>
      </c>
      <c r="C37" s="21" t="str">
        <f>+BALANCE!C135</f>
        <v>Cartera de créditos de vivienda refinanciada por vencer</v>
      </c>
      <c r="D37" s="22">
        <f>+BALANCE!D135</f>
        <v>0</v>
      </c>
      <c r="E37" s="22">
        <f>+BALANCE!E135</f>
        <v>0</v>
      </c>
      <c r="F37" s="22">
        <f>+BALANCE!F135</f>
        <v>0</v>
      </c>
      <c r="G37" s="22">
        <f>+BALANCE!G135</f>
        <v>0</v>
      </c>
      <c r="H37" s="22">
        <f>+BALANCE!H135</f>
        <v>0</v>
      </c>
      <c r="I37" s="22">
        <f>+BALANCE!I135</f>
        <v>0</v>
      </c>
      <c r="J37" s="22">
        <f>+BALANCE!J135</f>
        <v>0</v>
      </c>
      <c r="K37" s="79">
        <f>+BALANCE!K135</f>
        <v>0</v>
      </c>
    </row>
    <row r="38" spans="1:11" x14ac:dyDescent="0.2">
      <c r="A38" s="93">
        <v>32</v>
      </c>
      <c r="B38" s="20">
        <f>+BALANCE!B141</f>
        <v>1412</v>
      </c>
      <c r="C38" s="21" t="str">
        <f>+BALANCE!C141</f>
        <v>Cartera de créditos para la microempresa refinanciada por vencer</v>
      </c>
      <c r="D38" s="22">
        <f>+BALANCE!D141</f>
        <v>0</v>
      </c>
      <c r="E38" s="22">
        <f>+BALANCE!E141</f>
        <v>0</v>
      </c>
      <c r="F38" s="22">
        <f>+BALANCE!F141</f>
        <v>0</v>
      </c>
      <c r="G38" s="22">
        <f>+BALANCE!G141</f>
        <v>0</v>
      </c>
      <c r="H38" s="22">
        <f>+BALANCE!H141</f>
        <v>0</v>
      </c>
      <c r="I38" s="22">
        <f>+BALANCE!I141</f>
        <v>0</v>
      </c>
      <c r="J38" s="22">
        <f>+BALANCE!J141</f>
        <v>0</v>
      </c>
      <c r="K38" s="79">
        <f>+BALANCE!K141</f>
        <v>0</v>
      </c>
    </row>
    <row r="39" spans="1:11" x14ac:dyDescent="0.2">
      <c r="A39" s="93">
        <v>33</v>
      </c>
      <c r="B39" s="20">
        <f>+BALANCE!B147</f>
        <v>1413</v>
      </c>
      <c r="C39" s="21" t="str">
        <f>+BALANCE!C147</f>
        <v>Cartera de crédito educativo refinanciada por vencer</v>
      </c>
      <c r="D39" s="22">
        <f>+BALANCE!D147</f>
        <v>0</v>
      </c>
      <c r="E39" s="22">
        <f>+BALANCE!E147</f>
        <v>0</v>
      </c>
      <c r="F39" s="22">
        <f>+BALANCE!F147</f>
        <v>0</v>
      </c>
      <c r="G39" s="22">
        <f>+BALANCE!G147</f>
        <v>0</v>
      </c>
      <c r="H39" s="22">
        <f>+BALANCE!H147</f>
        <v>0</v>
      </c>
      <c r="I39" s="22">
        <f>+BALANCE!I147</f>
        <v>0</v>
      </c>
      <c r="J39" s="22">
        <f>+BALANCE!J147</f>
        <v>0</v>
      </c>
      <c r="K39" s="79">
        <f>+BALANCE!K147</f>
        <v>0</v>
      </c>
    </row>
    <row r="40" spans="1:11" x14ac:dyDescent="0.2">
      <c r="A40" s="93">
        <v>34</v>
      </c>
      <c r="B40" s="20">
        <f>+BALANCE!B153</f>
        <v>1414</v>
      </c>
      <c r="C40" s="21" t="str">
        <f>+BALANCE!C153</f>
        <v>Cartera de créditos de inversión pública refinanciada por vencer</v>
      </c>
      <c r="D40" s="22">
        <f>+BALANCE!D153</f>
        <v>0</v>
      </c>
      <c r="E40" s="22">
        <f>+BALANCE!E153</f>
        <v>0</v>
      </c>
      <c r="F40" s="22">
        <f>+BALANCE!F153</f>
        <v>0</v>
      </c>
      <c r="G40" s="22">
        <f>+BALANCE!G153</f>
        <v>0</v>
      </c>
      <c r="H40" s="22">
        <f>+BALANCE!H153</f>
        <v>0</v>
      </c>
      <c r="I40" s="22">
        <f>+BALANCE!I153</f>
        <v>0</v>
      </c>
      <c r="J40" s="22">
        <f>+BALANCE!J153</f>
        <v>0</v>
      </c>
      <c r="K40" s="79">
        <f>+BALANCE!K153</f>
        <v>0</v>
      </c>
    </row>
    <row r="41" spans="1:11" x14ac:dyDescent="0.2">
      <c r="A41" s="93">
        <v>35</v>
      </c>
      <c r="B41" s="20">
        <f>+BALANCE!B159</f>
        <v>1417</v>
      </c>
      <c r="C41" s="21" t="str">
        <f>+BALANCE!C159</f>
        <v>Cartera de créditos comercial reestructurada por vencer</v>
      </c>
      <c r="D41" s="22">
        <f>+BALANCE!D159</f>
        <v>0</v>
      </c>
      <c r="E41" s="22">
        <f>+BALANCE!E159</f>
        <v>0</v>
      </c>
      <c r="F41" s="22">
        <f>+BALANCE!F159</f>
        <v>0</v>
      </c>
      <c r="G41" s="22">
        <f>+BALANCE!G159</f>
        <v>14570.55891</v>
      </c>
      <c r="H41" s="22">
        <f>+BALANCE!H159</f>
        <v>9270.1862099999998</v>
      </c>
      <c r="I41" s="22">
        <f>+BALANCE!I159</f>
        <v>23840.74512</v>
      </c>
      <c r="J41" s="22">
        <f>+BALANCE!J159</f>
        <v>23840.74512</v>
      </c>
      <c r="K41" s="79">
        <f>+BALANCE!K159</f>
        <v>0</v>
      </c>
    </row>
    <row r="42" spans="1:11" x14ac:dyDescent="0.2">
      <c r="A42" s="93">
        <v>36</v>
      </c>
      <c r="B42" s="20">
        <f>+BALANCE!B165</f>
        <v>1418</v>
      </c>
      <c r="C42" s="21" t="str">
        <f>+BALANCE!C165</f>
        <v>Cartera de créditos de consumo reestructurada por vencer</v>
      </c>
      <c r="D42" s="22">
        <f>+BALANCE!D165</f>
        <v>0</v>
      </c>
      <c r="E42" s="22">
        <f>+BALANCE!E165</f>
        <v>0</v>
      </c>
      <c r="F42" s="22">
        <f>+BALANCE!F165</f>
        <v>0</v>
      </c>
      <c r="G42" s="22">
        <f>+BALANCE!G165</f>
        <v>43.371299999999998</v>
      </c>
      <c r="H42" s="22">
        <f>+BALANCE!H165</f>
        <v>0</v>
      </c>
      <c r="I42" s="22">
        <f>+BALANCE!I165</f>
        <v>43.371299999999998</v>
      </c>
      <c r="J42" s="22">
        <f>+BALANCE!J165</f>
        <v>43.371299999999998</v>
      </c>
      <c r="K42" s="79">
        <f>+BALANCE!K165</f>
        <v>0</v>
      </c>
    </row>
    <row r="43" spans="1:11" x14ac:dyDescent="0.2">
      <c r="A43" s="93">
        <v>37</v>
      </c>
      <c r="B43" s="20">
        <f>+BALANCE!B171</f>
        <v>1419</v>
      </c>
      <c r="C43" s="21" t="str">
        <f>+BALANCE!C171</f>
        <v>Cartera de créditos de vivienda reestructurada por vencer</v>
      </c>
      <c r="D43" s="22">
        <f>+BALANCE!D171</f>
        <v>4056.2760699999999</v>
      </c>
      <c r="E43" s="22">
        <f>+BALANCE!E171</f>
        <v>4056.2760699999999</v>
      </c>
      <c r="F43" s="22">
        <f>+BALANCE!F171</f>
        <v>0</v>
      </c>
      <c r="G43" s="22">
        <f>+BALANCE!G171</f>
        <v>0</v>
      </c>
      <c r="H43" s="22">
        <f>+BALANCE!H171</f>
        <v>0</v>
      </c>
      <c r="I43" s="22">
        <f>+BALANCE!I171</f>
        <v>0</v>
      </c>
      <c r="J43" s="22">
        <f>+BALANCE!J171</f>
        <v>4056.2760699999999</v>
      </c>
      <c r="K43" s="79">
        <f>+BALANCE!K171</f>
        <v>0</v>
      </c>
    </row>
    <row r="44" spans="1:11" x14ac:dyDescent="0.2">
      <c r="A44" s="93">
        <v>38</v>
      </c>
      <c r="B44" s="20">
        <f>+BALANCE!B177</f>
        <v>1420</v>
      </c>
      <c r="C44" s="21" t="str">
        <f>+BALANCE!C177</f>
        <v>Cartera de créditos para la microempresa reestructurada por vencer</v>
      </c>
      <c r="D44" s="22">
        <f>+BALANCE!D177</f>
        <v>0</v>
      </c>
      <c r="E44" s="22">
        <f>+BALANCE!E177</f>
        <v>0</v>
      </c>
      <c r="F44" s="22">
        <f>+BALANCE!F177</f>
        <v>0</v>
      </c>
      <c r="G44" s="22">
        <f>+BALANCE!G177</f>
        <v>713.12981000000002</v>
      </c>
      <c r="H44" s="22">
        <f>+BALANCE!H177</f>
        <v>0</v>
      </c>
      <c r="I44" s="22">
        <f>+BALANCE!I177</f>
        <v>713.12981000000002</v>
      </c>
      <c r="J44" s="22">
        <f>+BALANCE!J177</f>
        <v>713.12981000000002</v>
      </c>
      <c r="K44" s="79">
        <f>+BALANCE!K177</f>
        <v>0</v>
      </c>
    </row>
    <row r="45" spans="1:11" x14ac:dyDescent="0.2">
      <c r="A45" s="93">
        <v>39</v>
      </c>
      <c r="B45" s="20">
        <f>+BALANCE!B183</f>
        <v>1421</v>
      </c>
      <c r="C45" s="21" t="str">
        <f>+BALANCE!C183</f>
        <v>Cartera de crédito educativo reestructurada por vencer</v>
      </c>
      <c r="D45" s="22">
        <f>+BALANCE!D183</f>
        <v>0</v>
      </c>
      <c r="E45" s="22">
        <f>+BALANCE!E183</f>
        <v>0</v>
      </c>
      <c r="F45" s="22">
        <f>+BALANCE!F183</f>
        <v>0</v>
      </c>
      <c r="G45" s="22">
        <f>+BALANCE!G183</f>
        <v>0</v>
      </c>
      <c r="H45" s="22">
        <f>+BALANCE!H183</f>
        <v>0</v>
      </c>
      <c r="I45" s="22">
        <f>+BALANCE!I183</f>
        <v>0</v>
      </c>
      <c r="J45" s="22">
        <f>+BALANCE!J183</f>
        <v>0</v>
      </c>
      <c r="K45" s="79">
        <f>+BALANCE!K183</f>
        <v>0</v>
      </c>
    </row>
    <row r="46" spans="1:11" x14ac:dyDescent="0.2">
      <c r="A46" s="93">
        <v>40</v>
      </c>
      <c r="B46" s="20">
        <f>+BALANCE!B189</f>
        <v>1422</v>
      </c>
      <c r="C46" s="21" t="str">
        <f>+BALANCE!C189</f>
        <v>Cartera de créditos de inversión pública reestructurada por vencer</v>
      </c>
      <c r="D46" s="22">
        <f>+BALANCE!D189</f>
        <v>0</v>
      </c>
      <c r="E46" s="22">
        <f>+BALANCE!E189</f>
        <v>0</v>
      </c>
      <c r="F46" s="22">
        <f>+BALANCE!F189</f>
        <v>0</v>
      </c>
      <c r="G46" s="22">
        <f>+BALANCE!G189</f>
        <v>0</v>
      </c>
      <c r="H46" s="22">
        <f>+BALANCE!H189</f>
        <v>0</v>
      </c>
      <c r="I46" s="22">
        <f>+BALANCE!I189</f>
        <v>0</v>
      </c>
      <c r="J46" s="22">
        <f>+BALANCE!J189</f>
        <v>0</v>
      </c>
      <c r="K46" s="79">
        <f>+BALANCE!K189</f>
        <v>0</v>
      </c>
    </row>
    <row r="47" spans="1:11" x14ac:dyDescent="0.2">
      <c r="A47" s="93">
        <v>41</v>
      </c>
      <c r="B47" s="20">
        <f>+BALANCE!B195</f>
        <v>1425</v>
      </c>
      <c r="C47" s="21" t="str">
        <f>+BALANCE!C195</f>
        <v>Cartera de créditos comercial que no devenga intereses</v>
      </c>
      <c r="D47" s="22">
        <f>+BALANCE!D195</f>
        <v>13415.23905</v>
      </c>
      <c r="E47" s="22">
        <f>+BALANCE!E195</f>
        <v>13415.23905</v>
      </c>
      <c r="F47" s="22">
        <f>+BALANCE!F195</f>
        <v>0</v>
      </c>
      <c r="G47" s="22">
        <f>+BALANCE!G195</f>
        <v>60217.763160000002</v>
      </c>
      <c r="H47" s="22">
        <f>+BALANCE!H195</f>
        <v>23054.251489999999</v>
      </c>
      <c r="I47" s="22">
        <f>+BALANCE!I195</f>
        <v>83272.014649999997</v>
      </c>
      <c r="J47" s="22">
        <f>+BALANCE!J195</f>
        <v>96687.253700000001</v>
      </c>
      <c r="K47" s="79">
        <f>+BALANCE!K195</f>
        <v>0</v>
      </c>
    </row>
    <row r="48" spans="1:11" x14ac:dyDescent="0.2">
      <c r="A48" s="93">
        <v>42</v>
      </c>
      <c r="B48" s="20">
        <f>+BALANCE!B201</f>
        <v>1426</v>
      </c>
      <c r="C48" s="21" t="str">
        <f>+BALANCE!C201</f>
        <v>Cartera de créditos de consumo que no devenga intereses</v>
      </c>
      <c r="D48" s="22">
        <f>+BALANCE!D201</f>
        <v>0</v>
      </c>
      <c r="E48" s="22">
        <f>+BALANCE!E201</f>
        <v>0</v>
      </c>
      <c r="F48" s="22">
        <f>+BALANCE!F201</f>
        <v>0</v>
      </c>
      <c r="G48" s="22">
        <f>+BALANCE!G201</f>
        <v>4106.4009100000003</v>
      </c>
      <c r="H48" s="22">
        <f>+BALANCE!H201</f>
        <v>0</v>
      </c>
      <c r="I48" s="22">
        <f>+BALANCE!I201</f>
        <v>4106.4009100000003</v>
      </c>
      <c r="J48" s="22">
        <f>+BALANCE!J201</f>
        <v>4106.4009100000003</v>
      </c>
      <c r="K48" s="79">
        <f>+BALANCE!K201</f>
        <v>0</v>
      </c>
    </row>
    <row r="49" spans="1:11" x14ac:dyDescent="0.2">
      <c r="A49" s="93">
        <v>43</v>
      </c>
      <c r="B49" s="20">
        <f>+BALANCE!B207</f>
        <v>1427</v>
      </c>
      <c r="C49" s="21" t="str">
        <f>+BALANCE!C207</f>
        <v>Cartera de créditos de vivienda que no devenga intereses</v>
      </c>
      <c r="D49" s="22">
        <f>+BALANCE!D207</f>
        <v>654.62697000000003</v>
      </c>
      <c r="E49" s="22">
        <f>+BALANCE!E207</f>
        <v>654.62697000000003</v>
      </c>
      <c r="F49" s="22">
        <f>+BALANCE!F207</f>
        <v>0</v>
      </c>
      <c r="G49" s="22">
        <f>+BALANCE!G207</f>
        <v>0</v>
      </c>
      <c r="H49" s="22">
        <f>+BALANCE!H207</f>
        <v>0</v>
      </c>
      <c r="I49" s="22">
        <f>+BALANCE!I207</f>
        <v>0</v>
      </c>
      <c r="J49" s="22">
        <f>+BALANCE!J207</f>
        <v>654.62697000000003</v>
      </c>
      <c r="K49" s="79">
        <f>+BALANCE!K207</f>
        <v>0</v>
      </c>
    </row>
    <row r="50" spans="1:11" x14ac:dyDescent="0.2">
      <c r="A50" s="93">
        <v>44</v>
      </c>
      <c r="B50" s="20">
        <f>+BALANCE!B213</f>
        <v>1428</v>
      </c>
      <c r="C50" s="21" t="str">
        <f>+BALANCE!C213</f>
        <v>Cartera de créditos para la microempresa que no devenga intereses</v>
      </c>
      <c r="D50" s="22">
        <f>+BALANCE!D213</f>
        <v>0</v>
      </c>
      <c r="E50" s="22">
        <f>+BALANCE!E213</f>
        <v>0</v>
      </c>
      <c r="F50" s="22">
        <f>+BALANCE!F213</f>
        <v>0</v>
      </c>
      <c r="G50" s="22">
        <f>+BALANCE!G213</f>
        <v>12904.500770000001</v>
      </c>
      <c r="H50" s="22">
        <f>+BALANCE!H213</f>
        <v>4028.91347</v>
      </c>
      <c r="I50" s="22">
        <f>+BALANCE!I213</f>
        <v>16933.414240000002</v>
      </c>
      <c r="J50" s="22">
        <f>+BALANCE!J213</f>
        <v>16933.414240000002</v>
      </c>
      <c r="K50" s="79">
        <f>+BALANCE!K213</f>
        <v>0</v>
      </c>
    </row>
    <row r="51" spans="1:11" x14ac:dyDescent="0.2">
      <c r="A51" s="93">
        <v>45</v>
      </c>
      <c r="B51" s="20">
        <f>+BALANCE!B219</f>
        <v>1429</v>
      </c>
      <c r="C51" s="21" t="str">
        <f>+BALANCE!C219</f>
        <v>Cartera de crédito educativo que no devenga intereses</v>
      </c>
      <c r="D51" s="22">
        <f>+BALANCE!D219</f>
        <v>0</v>
      </c>
      <c r="E51" s="22">
        <f>+BALANCE!E219</f>
        <v>0</v>
      </c>
      <c r="F51" s="22">
        <f>+BALANCE!F219</f>
        <v>0</v>
      </c>
      <c r="G51" s="22">
        <f>+BALANCE!G219</f>
        <v>0</v>
      </c>
      <c r="H51" s="22">
        <f>+BALANCE!H219</f>
        <v>0</v>
      </c>
      <c r="I51" s="22">
        <f>+BALANCE!I219</f>
        <v>0</v>
      </c>
      <c r="J51" s="22">
        <f>+BALANCE!J219</f>
        <v>0</v>
      </c>
      <c r="K51" s="79">
        <f>+BALANCE!K219</f>
        <v>17855.219860000001</v>
      </c>
    </row>
    <row r="52" spans="1:11" x14ac:dyDescent="0.2">
      <c r="A52" s="93">
        <v>46</v>
      </c>
      <c r="B52" s="20">
        <f>+BALANCE!B225</f>
        <v>1430</v>
      </c>
      <c r="C52" s="21" t="str">
        <f>+BALANCE!C225</f>
        <v>Cartera de créditos de inversión pública que no devenga intereses</v>
      </c>
      <c r="D52" s="22">
        <f>+BALANCE!D225</f>
        <v>0</v>
      </c>
      <c r="E52" s="22">
        <f>+BALANCE!E225</f>
        <v>0</v>
      </c>
      <c r="F52" s="22">
        <f>+BALANCE!F225</f>
        <v>192.62246999999999</v>
      </c>
      <c r="G52" s="22">
        <f>+BALANCE!G225</f>
        <v>0</v>
      </c>
      <c r="H52" s="22">
        <f>+BALANCE!H225</f>
        <v>0</v>
      </c>
      <c r="I52" s="22">
        <f>+BALANCE!I225</f>
        <v>192.62246999999999</v>
      </c>
      <c r="J52" s="22">
        <f>+BALANCE!J225</f>
        <v>192.62246999999999</v>
      </c>
      <c r="K52" s="79">
        <f>+BALANCE!K225</f>
        <v>0</v>
      </c>
    </row>
    <row r="53" spans="1:11" x14ac:dyDescent="0.2">
      <c r="A53" s="93">
        <v>47</v>
      </c>
      <c r="B53" s="20">
        <f>+BALANCE!B231</f>
        <v>1433</v>
      </c>
      <c r="C53" s="21" t="str">
        <f>+BALANCE!C231</f>
        <v>Cartera de créditos comercial refinanciada que no devenga intereses</v>
      </c>
      <c r="D53" s="22">
        <f>+BALANCE!D231</f>
        <v>0</v>
      </c>
      <c r="E53" s="22">
        <f>+BALANCE!E231</f>
        <v>0</v>
      </c>
      <c r="F53" s="22">
        <f>+BALANCE!F231</f>
        <v>0</v>
      </c>
      <c r="G53" s="22">
        <f>+BALANCE!G231</f>
        <v>0</v>
      </c>
      <c r="H53" s="22">
        <f>+BALANCE!H231</f>
        <v>0</v>
      </c>
      <c r="I53" s="22">
        <f>+BALANCE!I231</f>
        <v>0</v>
      </c>
      <c r="J53" s="22">
        <f>+BALANCE!J231</f>
        <v>0</v>
      </c>
      <c r="K53" s="79">
        <f>+BALANCE!K231</f>
        <v>0</v>
      </c>
    </row>
    <row r="54" spans="1:11" x14ac:dyDescent="0.2">
      <c r="A54" s="93">
        <v>48</v>
      </c>
      <c r="B54" s="20">
        <f>+BALANCE!B237</f>
        <v>1434</v>
      </c>
      <c r="C54" s="21" t="str">
        <f>+BALANCE!C237</f>
        <v>Cartera de créditos de consumo refinanciada que no devenga intereses</v>
      </c>
      <c r="D54" s="22">
        <f>+BALANCE!D237</f>
        <v>0</v>
      </c>
      <c r="E54" s="22">
        <f>+BALANCE!E237</f>
        <v>0</v>
      </c>
      <c r="F54" s="22">
        <f>+BALANCE!F237</f>
        <v>0</v>
      </c>
      <c r="G54" s="22">
        <f>+BALANCE!G237</f>
        <v>0</v>
      </c>
      <c r="H54" s="22">
        <f>+BALANCE!H237</f>
        <v>0</v>
      </c>
      <c r="I54" s="22">
        <f>+BALANCE!I237</f>
        <v>0</v>
      </c>
      <c r="J54" s="22">
        <f>+BALANCE!J237</f>
        <v>0</v>
      </c>
      <c r="K54" s="79">
        <f>+BALANCE!K237</f>
        <v>0</v>
      </c>
    </row>
    <row r="55" spans="1:11" x14ac:dyDescent="0.2">
      <c r="A55" s="93">
        <v>49</v>
      </c>
      <c r="B55" s="20">
        <f>+BALANCE!B243</f>
        <v>1435</v>
      </c>
      <c r="C55" s="21" t="str">
        <f>+BALANCE!C243</f>
        <v>Cartera de créditos de vivienda refinanciada que no devenga intereses</v>
      </c>
      <c r="D55" s="22">
        <f>+BALANCE!D243</f>
        <v>0</v>
      </c>
      <c r="E55" s="22">
        <f>+BALANCE!E243</f>
        <v>0</v>
      </c>
      <c r="F55" s="22">
        <f>+BALANCE!F243</f>
        <v>0</v>
      </c>
      <c r="G55" s="22">
        <f>+BALANCE!G243</f>
        <v>0</v>
      </c>
      <c r="H55" s="22">
        <f>+BALANCE!H243</f>
        <v>0</v>
      </c>
      <c r="I55" s="22">
        <f>+BALANCE!I243</f>
        <v>0</v>
      </c>
      <c r="J55" s="22">
        <f>+BALANCE!J243</f>
        <v>0</v>
      </c>
      <c r="K55" s="79">
        <f>+BALANCE!K243</f>
        <v>0</v>
      </c>
    </row>
    <row r="56" spans="1:11" x14ac:dyDescent="0.2">
      <c r="A56" s="93">
        <v>50</v>
      </c>
      <c r="B56" s="20">
        <f>+BALANCE!B249</f>
        <v>1436</v>
      </c>
      <c r="C56" s="21" t="str">
        <f>+BALANCE!C249</f>
        <v>Cartera de créditos para la microempresa refinanciada que no devenga intereses</v>
      </c>
      <c r="D56" s="22">
        <f>+BALANCE!D249</f>
        <v>0</v>
      </c>
      <c r="E56" s="22">
        <f>+BALANCE!E249</f>
        <v>0</v>
      </c>
      <c r="F56" s="22">
        <f>+BALANCE!F249</f>
        <v>0</v>
      </c>
      <c r="G56" s="22">
        <f>+BALANCE!G249</f>
        <v>0</v>
      </c>
      <c r="H56" s="22">
        <f>+BALANCE!H249</f>
        <v>0</v>
      </c>
      <c r="I56" s="22">
        <f>+BALANCE!I249</f>
        <v>0</v>
      </c>
      <c r="J56" s="22">
        <f>+BALANCE!J249</f>
        <v>0</v>
      </c>
      <c r="K56" s="79">
        <f>+BALANCE!K249</f>
        <v>0</v>
      </c>
    </row>
    <row r="57" spans="1:11" x14ac:dyDescent="0.2">
      <c r="A57" s="93">
        <v>51</v>
      </c>
      <c r="B57" s="20">
        <f>+BALANCE!B255</f>
        <v>1437</v>
      </c>
      <c r="C57" s="21" t="str">
        <f>+BALANCE!C255</f>
        <v>Cartera de crédito educativo refinanciada que no devenga intereses</v>
      </c>
      <c r="D57" s="22">
        <f>+BALANCE!D255</f>
        <v>0</v>
      </c>
      <c r="E57" s="22">
        <f>+BALANCE!E255</f>
        <v>0</v>
      </c>
      <c r="F57" s="22">
        <f>+BALANCE!F255</f>
        <v>0</v>
      </c>
      <c r="G57" s="22">
        <f>+BALANCE!G255</f>
        <v>0</v>
      </c>
      <c r="H57" s="22">
        <f>+BALANCE!H255</f>
        <v>0</v>
      </c>
      <c r="I57" s="22">
        <f>+BALANCE!I255</f>
        <v>0</v>
      </c>
      <c r="J57" s="22">
        <f>+BALANCE!J255</f>
        <v>0</v>
      </c>
      <c r="K57" s="79">
        <f>+BALANCE!K255</f>
        <v>0</v>
      </c>
    </row>
    <row r="58" spans="1:11" x14ac:dyDescent="0.2">
      <c r="A58" s="93">
        <v>52</v>
      </c>
      <c r="B58" s="20">
        <f>+BALANCE!B261</f>
        <v>1438</v>
      </c>
      <c r="C58" s="21" t="str">
        <f>+BALANCE!C261</f>
        <v>Cartera de créditos de inversión pública refinanciada que no devenga intereses</v>
      </c>
      <c r="D58" s="22">
        <f>+BALANCE!D261</f>
        <v>0</v>
      </c>
      <c r="E58" s="22">
        <f>+BALANCE!E261</f>
        <v>0</v>
      </c>
      <c r="F58" s="22">
        <f>+BALANCE!F261</f>
        <v>0</v>
      </c>
      <c r="G58" s="22">
        <f>+BALANCE!G261</f>
        <v>0</v>
      </c>
      <c r="H58" s="22">
        <f>+BALANCE!H261</f>
        <v>0</v>
      </c>
      <c r="I58" s="22">
        <f>+BALANCE!I261</f>
        <v>0</v>
      </c>
      <c r="J58" s="22">
        <f>+BALANCE!J261</f>
        <v>0</v>
      </c>
      <c r="K58" s="79">
        <f>+BALANCE!K261</f>
        <v>0</v>
      </c>
    </row>
    <row r="59" spans="1:11" x14ac:dyDescent="0.2">
      <c r="A59" s="93">
        <v>53</v>
      </c>
      <c r="B59" s="20">
        <f>+BALANCE!B267</f>
        <v>1441</v>
      </c>
      <c r="C59" s="21" t="str">
        <f>+BALANCE!C267</f>
        <v>Cartera de créditos comercial reestructurada que no devenga intereses</v>
      </c>
      <c r="D59" s="22">
        <f>+BALANCE!D267</f>
        <v>0</v>
      </c>
      <c r="E59" s="22">
        <f>+BALANCE!E267</f>
        <v>0</v>
      </c>
      <c r="F59" s="22">
        <f>+BALANCE!F267</f>
        <v>0</v>
      </c>
      <c r="G59" s="22">
        <f>+BALANCE!G267</f>
        <v>14241.96278</v>
      </c>
      <c r="H59" s="22">
        <f>+BALANCE!H267</f>
        <v>605.90524000000005</v>
      </c>
      <c r="I59" s="22">
        <f>+BALANCE!I267</f>
        <v>14847.86802</v>
      </c>
      <c r="J59" s="22">
        <f>+BALANCE!J267</f>
        <v>14847.86802</v>
      </c>
      <c r="K59" s="79">
        <f>+BALANCE!K267</f>
        <v>0</v>
      </c>
    </row>
    <row r="60" spans="1:11" x14ac:dyDescent="0.2">
      <c r="A60" s="93">
        <v>54</v>
      </c>
      <c r="B60" s="20">
        <f>+BALANCE!B273</f>
        <v>1442</v>
      </c>
      <c r="C60" s="21" t="str">
        <f>+BALANCE!C273</f>
        <v>Cartera de créditos de consumo reestructurada que no devenga intereses</v>
      </c>
      <c r="D60" s="22">
        <f>+BALANCE!D273</f>
        <v>0</v>
      </c>
      <c r="E60" s="22">
        <f>+BALANCE!E273</f>
        <v>0</v>
      </c>
      <c r="F60" s="22">
        <f>+BALANCE!F273</f>
        <v>0</v>
      </c>
      <c r="G60" s="22">
        <f>+BALANCE!G273</f>
        <v>86.170529999999999</v>
      </c>
      <c r="H60" s="22">
        <f>+BALANCE!H273</f>
        <v>0</v>
      </c>
      <c r="I60" s="22">
        <f>+BALANCE!I273</f>
        <v>86.170529999999999</v>
      </c>
      <c r="J60" s="22">
        <f>+BALANCE!J273</f>
        <v>86.170529999999999</v>
      </c>
      <c r="K60" s="79">
        <f>+BALANCE!K273</f>
        <v>0</v>
      </c>
    </row>
    <row r="61" spans="1:11" x14ac:dyDescent="0.2">
      <c r="A61" s="93">
        <v>55</v>
      </c>
      <c r="B61" s="20">
        <f>+BALANCE!B279</f>
        <v>1443</v>
      </c>
      <c r="C61" s="21" t="str">
        <f>+BALANCE!C279</f>
        <v>Cartera de créditos de vivienda reestructurada que no devenga intereses</v>
      </c>
      <c r="D61" s="22">
        <f>+BALANCE!D279</f>
        <v>208.40136000000001</v>
      </c>
      <c r="E61" s="22">
        <f>+BALANCE!E279</f>
        <v>208.40136000000001</v>
      </c>
      <c r="F61" s="22">
        <f>+BALANCE!F279</f>
        <v>0</v>
      </c>
      <c r="G61" s="22">
        <f>+BALANCE!G279</f>
        <v>0</v>
      </c>
      <c r="H61" s="22">
        <f>+BALANCE!H279</f>
        <v>0</v>
      </c>
      <c r="I61" s="22">
        <f>+BALANCE!I279</f>
        <v>0</v>
      </c>
      <c r="J61" s="22">
        <f>+BALANCE!J279</f>
        <v>208.40136000000001</v>
      </c>
      <c r="K61" s="79">
        <f>+BALANCE!K279</f>
        <v>0</v>
      </c>
    </row>
    <row r="62" spans="1:11" x14ac:dyDescent="0.2">
      <c r="A62" s="93">
        <v>56</v>
      </c>
      <c r="B62" s="20">
        <f>+BALANCE!B285</f>
        <v>1444</v>
      </c>
      <c r="C62" s="21" t="str">
        <f>+BALANCE!C285</f>
        <v>Cartera de créditos para la microempresa reestructurada que no devenga intereses</v>
      </c>
      <c r="D62" s="22">
        <f>+BALANCE!D285</f>
        <v>0</v>
      </c>
      <c r="E62" s="22">
        <f>+BALANCE!E285</f>
        <v>0</v>
      </c>
      <c r="F62" s="22">
        <f>+BALANCE!F285</f>
        <v>0</v>
      </c>
      <c r="G62" s="22">
        <f>+BALANCE!G285</f>
        <v>183.86063999999999</v>
      </c>
      <c r="H62" s="22">
        <f>+BALANCE!H285</f>
        <v>0</v>
      </c>
      <c r="I62" s="22">
        <f>+BALANCE!I285</f>
        <v>183.86063999999999</v>
      </c>
      <c r="J62" s="22">
        <f>+BALANCE!J285</f>
        <v>183.86063999999999</v>
      </c>
      <c r="K62" s="79">
        <f>+BALANCE!K285</f>
        <v>0</v>
      </c>
    </row>
    <row r="63" spans="1:11" x14ac:dyDescent="0.2">
      <c r="A63" s="93">
        <v>57</v>
      </c>
      <c r="B63" s="20">
        <f>+BALANCE!B291</f>
        <v>1445</v>
      </c>
      <c r="C63" s="21" t="str">
        <f>+BALANCE!C291</f>
        <v>Cartera de crédito educativo reestructurada que no devenga intereses</v>
      </c>
      <c r="D63" s="22">
        <f>+BALANCE!D291</f>
        <v>0</v>
      </c>
      <c r="E63" s="22">
        <f>+BALANCE!E291</f>
        <v>0</v>
      </c>
      <c r="F63" s="22">
        <f>+BALANCE!F291</f>
        <v>0</v>
      </c>
      <c r="G63" s="22">
        <f>+BALANCE!G291</f>
        <v>0</v>
      </c>
      <c r="H63" s="22">
        <f>+BALANCE!H291</f>
        <v>0</v>
      </c>
      <c r="I63" s="22">
        <f>+BALANCE!I291</f>
        <v>0</v>
      </c>
      <c r="J63" s="22">
        <f>+BALANCE!J291</f>
        <v>0</v>
      </c>
      <c r="K63" s="79">
        <f>+BALANCE!K291</f>
        <v>0</v>
      </c>
    </row>
    <row r="64" spans="1:11" x14ac:dyDescent="0.2">
      <c r="A64" s="93">
        <v>58</v>
      </c>
      <c r="B64" s="20">
        <f>+BALANCE!B297</f>
        <v>1446</v>
      </c>
      <c r="C64" s="21" t="str">
        <f>+BALANCE!C297</f>
        <v>Cartera de créditos de inversión pública reestructurada que no devenga intereses</v>
      </c>
      <c r="D64" s="22">
        <f>+BALANCE!D297</f>
        <v>0</v>
      </c>
      <c r="E64" s="22">
        <f>+BALANCE!E297</f>
        <v>0</v>
      </c>
      <c r="F64" s="22">
        <f>+BALANCE!F297</f>
        <v>0</v>
      </c>
      <c r="G64" s="22">
        <f>+BALANCE!G297</f>
        <v>0</v>
      </c>
      <c r="H64" s="22">
        <f>+BALANCE!H297</f>
        <v>0</v>
      </c>
      <c r="I64" s="22">
        <f>+BALANCE!I297</f>
        <v>0</v>
      </c>
      <c r="J64" s="22">
        <f>+BALANCE!J297</f>
        <v>0</v>
      </c>
      <c r="K64" s="79">
        <f>+BALANCE!K297</f>
        <v>0</v>
      </c>
    </row>
    <row r="65" spans="1:11" x14ac:dyDescent="0.2">
      <c r="A65" s="93">
        <v>59</v>
      </c>
      <c r="B65" s="20">
        <f>+BALANCE!B303</f>
        <v>1449</v>
      </c>
      <c r="C65" s="21" t="str">
        <f>+BALANCE!C303</f>
        <v>Cartera de créditos comercial vencida</v>
      </c>
      <c r="D65" s="22">
        <f>+BALANCE!D303</f>
        <v>9005.1311499999993</v>
      </c>
      <c r="E65" s="22">
        <f>+BALANCE!E303</f>
        <v>9005.1311499999993</v>
      </c>
      <c r="F65" s="22">
        <f>+BALANCE!F303</f>
        <v>0</v>
      </c>
      <c r="G65" s="22">
        <f>+BALANCE!G303</f>
        <v>40898.987090000002</v>
      </c>
      <c r="H65" s="22">
        <f>+BALANCE!H303</f>
        <v>44839.158150000003</v>
      </c>
      <c r="I65" s="22">
        <f>+BALANCE!I303</f>
        <v>85738.145240000013</v>
      </c>
      <c r="J65" s="22">
        <f>+BALANCE!J303</f>
        <v>94743.276390000014</v>
      </c>
      <c r="K65" s="79">
        <f>+BALANCE!K303</f>
        <v>0</v>
      </c>
    </row>
    <row r="66" spans="1:11" x14ac:dyDescent="0.2">
      <c r="A66" s="93">
        <v>60</v>
      </c>
      <c r="B66" s="20">
        <f>+BALANCE!B309</f>
        <v>1450</v>
      </c>
      <c r="C66" s="21" t="str">
        <f>+BALANCE!C309</f>
        <v>Cartera de créditos de consumo vencida</v>
      </c>
      <c r="D66" s="22">
        <f>+BALANCE!D309</f>
        <v>0</v>
      </c>
      <c r="E66" s="22">
        <f>+BALANCE!E309</f>
        <v>0</v>
      </c>
      <c r="F66" s="22">
        <f>+BALANCE!F309</f>
        <v>0</v>
      </c>
      <c r="G66" s="22">
        <f>+BALANCE!G309</f>
        <v>1422.34312</v>
      </c>
      <c r="H66" s="22">
        <f>+BALANCE!H309</f>
        <v>0</v>
      </c>
      <c r="I66" s="22">
        <f>+BALANCE!I309</f>
        <v>1422.34312</v>
      </c>
      <c r="J66" s="22">
        <f>+BALANCE!J309</f>
        <v>1422.34312</v>
      </c>
      <c r="K66" s="79">
        <f>+BALANCE!K309</f>
        <v>0</v>
      </c>
    </row>
    <row r="67" spans="1:11" x14ac:dyDescent="0.2">
      <c r="A67" s="93">
        <v>61</v>
      </c>
      <c r="B67" s="20">
        <f>+BALANCE!B315</f>
        <v>1451</v>
      </c>
      <c r="C67" s="21" t="str">
        <f>+BALANCE!C315</f>
        <v>Cartera de créditos de vivienda vencida</v>
      </c>
      <c r="D67" s="22">
        <f>+BALANCE!D315</f>
        <v>55.869</v>
      </c>
      <c r="E67" s="22">
        <f>+BALANCE!E315</f>
        <v>55.869</v>
      </c>
      <c r="F67" s="22">
        <f>+BALANCE!F315</f>
        <v>0</v>
      </c>
      <c r="G67" s="22">
        <f>+BALANCE!G315</f>
        <v>0</v>
      </c>
      <c r="H67" s="22">
        <f>+BALANCE!H315</f>
        <v>0</v>
      </c>
      <c r="I67" s="22">
        <f>+BALANCE!I315</f>
        <v>0</v>
      </c>
      <c r="J67" s="22">
        <f>+BALANCE!J315</f>
        <v>55.869</v>
      </c>
      <c r="K67" s="79">
        <f>+BALANCE!K315</f>
        <v>0</v>
      </c>
    </row>
    <row r="68" spans="1:11" x14ac:dyDescent="0.2">
      <c r="A68" s="93">
        <v>62</v>
      </c>
      <c r="B68" s="20">
        <f>+BALANCE!B322</f>
        <v>1452</v>
      </c>
      <c r="C68" s="21" t="str">
        <f>+BALANCE!C322</f>
        <v>Cartera de créditos para la microempresa vencida</v>
      </c>
      <c r="D68" s="22">
        <f>+BALANCE!D322</f>
        <v>0</v>
      </c>
      <c r="E68" s="22">
        <f>+BALANCE!E322</f>
        <v>0</v>
      </c>
      <c r="F68" s="22">
        <f>+BALANCE!F322</f>
        <v>0</v>
      </c>
      <c r="G68" s="22">
        <f>+BALANCE!G322</f>
        <v>2778.7677100000001</v>
      </c>
      <c r="H68" s="22">
        <f>+BALANCE!H322</f>
        <v>685.60401000000002</v>
      </c>
      <c r="I68" s="22">
        <f>+BALANCE!I322</f>
        <v>3464.3717200000001</v>
      </c>
      <c r="J68" s="22">
        <f>+BALANCE!J322</f>
        <v>3464.3717200000001</v>
      </c>
      <c r="K68" s="79">
        <f>+BALANCE!K322</f>
        <v>0</v>
      </c>
    </row>
    <row r="69" spans="1:11" x14ac:dyDescent="0.2">
      <c r="A69" s="93">
        <v>63</v>
      </c>
      <c r="B69" s="20">
        <f>+BALANCE!B328</f>
        <v>1453</v>
      </c>
      <c r="C69" s="21" t="str">
        <f>+BALANCE!C328</f>
        <v>Cartera de crédito educativo vencida</v>
      </c>
      <c r="D69" s="22">
        <f>+BALANCE!D328</f>
        <v>0</v>
      </c>
      <c r="E69" s="22">
        <f>+BALANCE!E328</f>
        <v>0</v>
      </c>
      <c r="F69" s="22">
        <f>+BALANCE!F328</f>
        <v>0</v>
      </c>
      <c r="G69" s="22">
        <f>+BALANCE!G328</f>
        <v>0</v>
      </c>
      <c r="H69" s="22">
        <f>+BALANCE!H328</f>
        <v>0</v>
      </c>
      <c r="I69" s="22">
        <f>+BALANCE!I328</f>
        <v>0</v>
      </c>
      <c r="J69" s="22">
        <f>+BALANCE!J328</f>
        <v>0</v>
      </c>
      <c r="K69" s="79">
        <f>+BALANCE!K328</f>
        <v>12416.8416</v>
      </c>
    </row>
    <row r="70" spans="1:11" x14ac:dyDescent="0.2">
      <c r="A70" s="93">
        <v>64</v>
      </c>
      <c r="B70" s="20">
        <f>+BALANCE!B334</f>
        <v>1454</v>
      </c>
      <c r="C70" s="21" t="str">
        <f>+BALANCE!C334</f>
        <v>Cartera de créditos de inversión pública vencida</v>
      </c>
      <c r="D70" s="22">
        <f>+BALANCE!D334</f>
        <v>0</v>
      </c>
      <c r="E70" s="22">
        <f>+BALANCE!E334</f>
        <v>0</v>
      </c>
      <c r="F70" s="22">
        <f>+BALANCE!F334</f>
        <v>18.01662</v>
      </c>
      <c r="G70" s="22">
        <f>+BALANCE!G334</f>
        <v>0</v>
      </c>
      <c r="H70" s="22">
        <f>+BALANCE!H334</f>
        <v>0</v>
      </c>
      <c r="I70" s="22">
        <f>+BALANCE!I334</f>
        <v>18.01662</v>
      </c>
      <c r="J70" s="22">
        <f>+BALANCE!J334</f>
        <v>18.01662</v>
      </c>
      <c r="K70" s="79">
        <f>+BALANCE!K334</f>
        <v>0</v>
      </c>
    </row>
    <row r="71" spans="1:11" x14ac:dyDescent="0.2">
      <c r="A71" s="93">
        <v>65</v>
      </c>
      <c r="B71" s="20">
        <f>+BALANCE!B340</f>
        <v>1457</v>
      </c>
      <c r="C71" s="21" t="str">
        <f>+BALANCE!C340</f>
        <v>Cartera de créditos comercial refinanciada vencida</v>
      </c>
      <c r="D71" s="22">
        <f>+BALANCE!D340</f>
        <v>0</v>
      </c>
      <c r="E71" s="22">
        <f>+BALANCE!E340</f>
        <v>0</v>
      </c>
      <c r="F71" s="22">
        <f>+BALANCE!F340</f>
        <v>0</v>
      </c>
      <c r="G71" s="22">
        <f>+BALANCE!G340</f>
        <v>0</v>
      </c>
      <c r="H71" s="22">
        <f>+BALANCE!H340</f>
        <v>0</v>
      </c>
      <c r="I71" s="22">
        <f>+BALANCE!I340</f>
        <v>0</v>
      </c>
      <c r="J71" s="22">
        <f>+BALANCE!J340</f>
        <v>0</v>
      </c>
      <c r="K71" s="79">
        <f>+BALANCE!K340</f>
        <v>0</v>
      </c>
    </row>
    <row r="72" spans="1:11" x14ac:dyDescent="0.2">
      <c r="A72" s="93">
        <v>66</v>
      </c>
      <c r="B72" s="20">
        <f>+BALANCE!B346</f>
        <v>1458</v>
      </c>
      <c r="C72" s="21" t="str">
        <f>+BALANCE!C346</f>
        <v>Cartera de créditos de consumo refinanciada vencida</v>
      </c>
      <c r="D72" s="22">
        <f>+BALANCE!D346</f>
        <v>0</v>
      </c>
      <c r="E72" s="22">
        <f>+BALANCE!E346</f>
        <v>0</v>
      </c>
      <c r="F72" s="22">
        <f>+BALANCE!F346</f>
        <v>0</v>
      </c>
      <c r="G72" s="22">
        <f>+BALANCE!G346</f>
        <v>0</v>
      </c>
      <c r="H72" s="22">
        <f>+BALANCE!H346</f>
        <v>0</v>
      </c>
      <c r="I72" s="22">
        <f>+BALANCE!I346</f>
        <v>0</v>
      </c>
      <c r="J72" s="22">
        <f>+BALANCE!J346</f>
        <v>0</v>
      </c>
      <c r="K72" s="79">
        <f>+BALANCE!K346</f>
        <v>0</v>
      </c>
    </row>
    <row r="73" spans="1:11" x14ac:dyDescent="0.2">
      <c r="A73" s="93">
        <v>67</v>
      </c>
      <c r="B73" s="20">
        <f>+BALANCE!B352</f>
        <v>1459</v>
      </c>
      <c r="C73" s="21" t="str">
        <f>+BALANCE!C352</f>
        <v>Cartera de créditos de vivienda refinanciada vencida</v>
      </c>
      <c r="D73" s="22">
        <f>+BALANCE!D352</f>
        <v>0</v>
      </c>
      <c r="E73" s="22">
        <f>+BALANCE!E352</f>
        <v>0</v>
      </c>
      <c r="F73" s="22">
        <f>+BALANCE!F352</f>
        <v>0</v>
      </c>
      <c r="G73" s="22">
        <f>+BALANCE!G352</f>
        <v>0</v>
      </c>
      <c r="H73" s="22">
        <f>+BALANCE!H352</f>
        <v>0</v>
      </c>
      <c r="I73" s="22">
        <f>+BALANCE!I352</f>
        <v>0</v>
      </c>
      <c r="J73" s="22">
        <f>+BALANCE!J352</f>
        <v>0</v>
      </c>
      <c r="K73" s="79">
        <f>+BALANCE!K352</f>
        <v>0</v>
      </c>
    </row>
    <row r="74" spans="1:11" x14ac:dyDescent="0.2">
      <c r="A74" s="93">
        <v>68</v>
      </c>
      <c r="B74" s="20">
        <f>+BALANCE!B359</f>
        <v>1460</v>
      </c>
      <c r="C74" s="21" t="str">
        <f>+BALANCE!C359</f>
        <v>Cartera de créditos para la microempresa refinanciada vencida</v>
      </c>
      <c r="D74" s="22">
        <f>+BALANCE!D359</f>
        <v>0</v>
      </c>
      <c r="E74" s="22">
        <f>+BALANCE!E359</f>
        <v>0</v>
      </c>
      <c r="F74" s="22">
        <f>+BALANCE!F359</f>
        <v>0</v>
      </c>
      <c r="G74" s="22">
        <f>+BALANCE!G359</f>
        <v>0</v>
      </c>
      <c r="H74" s="22">
        <f>+BALANCE!H359</f>
        <v>0</v>
      </c>
      <c r="I74" s="22">
        <f>+BALANCE!I359</f>
        <v>0</v>
      </c>
      <c r="J74" s="22">
        <f>+BALANCE!J359</f>
        <v>0</v>
      </c>
      <c r="K74" s="79">
        <f>+BALANCE!K359</f>
        <v>0</v>
      </c>
    </row>
    <row r="75" spans="1:11" x14ac:dyDescent="0.2">
      <c r="A75" s="93">
        <v>69</v>
      </c>
      <c r="B75" s="20">
        <f>+BALANCE!B365</f>
        <v>1461</v>
      </c>
      <c r="C75" s="21" t="str">
        <f>+BALANCE!C365</f>
        <v>Cartera de crédito educativo refinanciada vencida</v>
      </c>
      <c r="D75" s="22">
        <f>+BALANCE!D365</f>
        <v>0</v>
      </c>
      <c r="E75" s="22">
        <f>+BALANCE!E365</f>
        <v>0</v>
      </c>
      <c r="F75" s="22">
        <f>+BALANCE!F365</f>
        <v>0</v>
      </c>
      <c r="G75" s="22">
        <f>+BALANCE!G365</f>
        <v>0</v>
      </c>
      <c r="H75" s="22">
        <f>+BALANCE!H365</f>
        <v>0</v>
      </c>
      <c r="I75" s="22">
        <f>+BALANCE!I365</f>
        <v>0</v>
      </c>
      <c r="J75" s="22">
        <f>+BALANCE!J365</f>
        <v>0</v>
      </c>
      <c r="K75" s="79">
        <f>+BALANCE!K365</f>
        <v>0</v>
      </c>
    </row>
    <row r="76" spans="1:11" x14ac:dyDescent="0.2">
      <c r="A76" s="93">
        <v>70</v>
      </c>
      <c r="B76" s="20">
        <f>+BALANCE!B371</f>
        <v>1462</v>
      </c>
      <c r="C76" s="21" t="str">
        <f>+BALANCE!C371</f>
        <v>Cartera de créditos de inversión pública refinanciada vencida</v>
      </c>
      <c r="D76" s="22">
        <f>+BALANCE!D371</f>
        <v>0</v>
      </c>
      <c r="E76" s="22">
        <f>+BALANCE!E371</f>
        <v>0</v>
      </c>
      <c r="F76" s="22">
        <f>+BALANCE!F371</f>
        <v>0</v>
      </c>
      <c r="G76" s="22">
        <f>+BALANCE!G371</f>
        <v>0</v>
      </c>
      <c r="H76" s="22">
        <f>+BALANCE!H371</f>
        <v>0</v>
      </c>
      <c r="I76" s="22">
        <f>+BALANCE!I371</f>
        <v>0</v>
      </c>
      <c r="J76" s="22">
        <f>+BALANCE!J371</f>
        <v>0</v>
      </c>
      <c r="K76" s="79">
        <f>+BALANCE!K371</f>
        <v>0</v>
      </c>
    </row>
    <row r="77" spans="1:11" x14ac:dyDescent="0.2">
      <c r="A77" s="93">
        <v>71</v>
      </c>
      <c r="B77" s="20">
        <f>+BALANCE!B377</f>
        <v>1465</v>
      </c>
      <c r="C77" s="21" t="str">
        <f>+BALANCE!C377</f>
        <v>Cartera de créditos comercial reestructurada vencida</v>
      </c>
      <c r="D77" s="22">
        <f>+BALANCE!D377</f>
        <v>0</v>
      </c>
      <c r="E77" s="22">
        <f>+BALANCE!E377</f>
        <v>0</v>
      </c>
      <c r="F77" s="22">
        <f>+BALANCE!F377</f>
        <v>0</v>
      </c>
      <c r="G77" s="22">
        <f>+BALANCE!G377</f>
        <v>11396.18087</v>
      </c>
      <c r="H77" s="22">
        <f>+BALANCE!H377</f>
        <v>950.96981000000005</v>
      </c>
      <c r="I77" s="22">
        <f>+BALANCE!I377</f>
        <v>12347.150680000001</v>
      </c>
      <c r="J77" s="22">
        <f>+BALANCE!J377</f>
        <v>12347.150680000001</v>
      </c>
      <c r="K77" s="79">
        <f>+BALANCE!K377</f>
        <v>0</v>
      </c>
    </row>
    <row r="78" spans="1:11" x14ac:dyDescent="0.2">
      <c r="A78" s="93">
        <v>72</v>
      </c>
      <c r="B78" s="20">
        <f>+BALANCE!B383</f>
        <v>1466</v>
      </c>
      <c r="C78" s="21" t="str">
        <f>+BALANCE!C383</f>
        <v>Cartera de créditos de consumo reestructurada vencida</v>
      </c>
      <c r="D78" s="22">
        <f>+BALANCE!D383</f>
        <v>0</v>
      </c>
      <c r="E78" s="22">
        <f>+BALANCE!E383</f>
        <v>0</v>
      </c>
      <c r="F78" s="22">
        <f>+BALANCE!F383</f>
        <v>0</v>
      </c>
      <c r="G78" s="22">
        <f>+BALANCE!G383</f>
        <v>83.036699999999996</v>
      </c>
      <c r="H78" s="22">
        <f>+BALANCE!H383</f>
        <v>0</v>
      </c>
      <c r="I78" s="22">
        <f>+BALANCE!I383</f>
        <v>83.036699999999996</v>
      </c>
      <c r="J78" s="22">
        <f>+BALANCE!J383</f>
        <v>83.036699999999996</v>
      </c>
      <c r="K78" s="79">
        <f>+BALANCE!K383</f>
        <v>0</v>
      </c>
    </row>
    <row r="79" spans="1:11" x14ac:dyDescent="0.2">
      <c r="A79" s="93">
        <v>73</v>
      </c>
      <c r="B79" s="20">
        <f>+BALANCE!B389</f>
        <v>1467</v>
      </c>
      <c r="C79" s="21" t="str">
        <f>+BALANCE!C389</f>
        <v>Cartera de créditos de vivienda reestructurada vencida</v>
      </c>
      <c r="D79" s="22">
        <f>+BALANCE!D389</f>
        <v>4.8739699999999999</v>
      </c>
      <c r="E79" s="22">
        <f>+BALANCE!E389</f>
        <v>4.8739699999999999</v>
      </c>
      <c r="F79" s="22">
        <f>+BALANCE!F389</f>
        <v>0</v>
      </c>
      <c r="G79" s="22">
        <f>+BALANCE!G389</f>
        <v>0</v>
      </c>
      <c r="H79" s="22">
        <f>+BALANCE!H389</f>
        <v>0</v>
      </c>
      <c r="I79" s="22">
        <f>+BALANCE!I389</f>
        <v>0</v>
      </c>
      <c r="J79" s="22">
        <f>+BALANCE!J389</f>
        <v>4.8739699999999999</v>
      </c>
      <c r="K79" s="79">
        <f>+BALANCE!K389</f>
        <v>0</v>
      </c>
    </row>
    <row r="80" spans="1:11" x14ac:dyDescent="0.2">
      <c r="A80" s="93">
        <v>74</v>
      </c>
      <c r="B80" s="20">
        <f>+BALANCE!B396</f>
        <v>1468</v>
      </c>
      <c r="C80" s="21" t="str">
        <f>+BALANCE!C396</f>
        <v>Cartera de créditos para la microempresa reestructurada vencida</v>
      </c>
      <c r="D80" s="22">
        <f>+BALANCE!D396</f>
        <v>0</v>
      </c>
      <c r="E80" s="22">
        <f>+BALANCE!E396</f>
        <v>0</v>
      </c>
      <c r="F80" s="22">
        <f>+BALANCE!F396</f>
        <v>0</v>
      </c>
      <c r="G80" s="22">
        <f>+BALANCE!G396</f>
        <v>140.64618999999999</v>
      </c>
      <c r="H80" s="22">
        <f>+BALANCE!H396</f>
        <v>0</v>
      </c>
      <c r="I80" s="22">
        <f>+BALANCE!I396</f>
        <v>140.64618999999999</v>
      </c>
      <c r="J80" s="22">
        <f>+BALANCE!J396</f>
        <v>140.64618999999999</v>
      </c>
      <c r="K80" s="79">
        <f>+BALANCE!K396</f>
        <v>0</v>
      </c>
    </row>
    <row r="81" spans="1:11" x14ac:dyDescent="0.2">
      <c r="A81" s="93">
        <v>75</v>
      </c>
      <c r="B81" s="20">
        <f>+BALANCE!B402</f>
        <v>1469</v>
      </c>
      <c r="C81" s="21" t="str">
        <f>+BALANCE!C402</f>
        <v>Cartera de crédito educativo reestructurada vencida</v>
      </c>
      <c r="D81" s="22">
        <f>+BALANCE!D402</f>
        <v>0</v>
      </c>
      <c r="E81" s="22">
        <f>+BALANCE!E402</f>
        <v>0</v>
      </c>
      <c r="F81" s="22">
        <f>+BALANCE!F402</f>
        <v>0</v>
      </c>
      <c r="G81" s="22">
        <f>+BALANCE!G402</f>
        <v>0</v>
      </c>
      <c r="H81" s="22">
        <f>+BALANCE!H402</f>
        <v>0</v>
      </c>
      <c r="I81" s="22">
        <f>+BALANCE!I402</f>
        <v>0</v>
      </c>
      <c r="J81" s="22">
        <f>+BALANCE!J402</f>
        <v>0</v>
      </c>
      <c r="K81" s="79">
        <f>+BALANCE!K402</f>
        <v>0</v>
      </c>
    </row>
    <row r="82" spans="1:11" x14ac:dyDescent="0.2">
      <c r="A82" s="93">
        <v>76</v>
      </c>
      <c r="B82" s="20">
        <f>+BALANCE!B408</f>
        <v>1470</v>
      </c>
      <c r="C82" s="21" t="str">
        <f>+BALANCE!C408</f>
        <v>Cartera de créditos de inversión pública reestructurada vencida</v>
      </c>
      <c r="D82" s="22">
        <f>+BALANCE!D408</f>
        <v>0</v>
      </c>
      <c r="E82" s="22">
        <f>+BALANCE!E408</f>
        <v>0</v>
      </c>
      <c r="F82" s="22">
        <f>+BALANCE!F408</f>
        <v>0</v>
      </c>
      <c r="G82" s="22">
        <f>+BALANCE!G408</f>
        <v>0</v>
      </c>
      <c r="H82" s="22">
        <f>+BALANCE!H408</f>
        <v>0</v>
      </c>
      <c r="I82" s="22">
        <f>+BALANCE!I408</f>
        <v>0</v>
      </c>
      <c r="J82" s="22">
        <f>+BALANCE!J408</f>
        <v>0</v>
      </c>
      <c r="K82" s="79">
        <f>+BALANCE!K408</f>
        <v>0</v>
      </c>
    </row>
    <row r="83" spans="1:11" x14ac:dyDescent="0.2">
      <c r="A83" s="93">
        <v>77</v>
      </c>
      <c r="B83" s="20">
        <f>+BALANCE!B414</f>
        <v>1499</v>
      </c>
      <c r="C83" s="21" t="str">
        <f>+BALANCE!C414</f>
        <v>(Provisiones para créditos incobrables)</v>
      </c>
      <c r="D83" s="22">
        <f>+BALANCE!D414</f>
        <v>-16559.367289999998</v>
      </c>
      <c r="E83" s="22">
        <f>+BALANCE!E414</f>
        <v>-16559.367289999998</v>
      </c>
      <c r="F83" s="22">
        <f>+BALANCE!F414</f>
        <v>-11177.734270000001</v>
      </c>
      <c r="G83" s="22">
        <f>+BALANCE!G414</f>
        <v>-105879.39492000001</v>
      </c>
      <c r="H83" s="22">
        <f>+BALANCE!H414</f>
        <v>-74639.560490000003</v>
      </c>
      <c r="I83" s="22">
        <f>+BALANCE!I414</f>
        <v>-191696.68968000001</v>
      </c>
      <c r="J83" s="22">
        <f>+BALANCE!J414</f>
        <v>-208256.05697000001</v>
      </c>
      <c r="K83" s="79">
        <f>+BALANCE!K414</f>
        <v>-14505.387930000001</v>
      </c>
    </row>
    <row r="84" spans="1:11" x14ac:dyDescent="0.2">
      <c r="A84" s="93">
        <v>78</v>
      </c>
      <c r="B84" s="20">
        <f>+BALANCE!B415</f>
        <v>149905</v>
      </c>
      <c r="C84" s="21" t="str">
        <f>+BALANCE!C415</f>
        <v>(Cartera de créditos comercial)</v>
      </c>
      <c r="D84" s="22">
        <f>+BALANCE!D415</f>
        <v>-13181.531720000001</v>
      </c>
      <c r="E84" s="22">
        <f>+BALANCE!E415</f>
        <v>-13181.531720000001</v>
      </c>
      <c r="F84" s="22">
        <f>+BALANCE!F415</f>
        <v>0</v>
      </c>
      <c r="G84" s="22">
        <f>+BALANCE!G415</f>
        <v>-63372.349589999998</v>
      </c>
      <c r="H84" s="22">
        <f>+BALANCE!H415</f>
        <v>-45875.117859999998</v>
      </c>
      <c r="I84" s="22">
        <f>+BALANCE!I415</f>
        <v>-109247.46745</v>
      </c>
      <c r="J84" s="22">
        <f>+BALANCE!J415</f>
        <v>-122428.99917</v>
      </c>
      <c r="K84" s="79">
        <f>+BALANCE!K415</f>
        <v>0</v>
      </c>
    </row>
    <row r="85" spans="1:11" x14ac:dyDescent="0.2">
      <c r="A85" s="93">
        <v>79</v>
      </c>
      <c r="B85" s="20">
        <f>+BALANCE!B416</f>
        <v>149910</v>
      </c>
      <c r="C85" s="21" t="str">
        <f>+BALANCE!C416</f>
        <v>(Cartera de créditos de consumo)</v>
      </c>
      <c r="D85" s="22">
        <f>+BALANCE!D416</f>
        <v>0</v>
      </c>
      <c r="E85" s="22">
        <f>+BALANCE!E416</f>
        <v>0</v>
      </c>
      <c r="F85" s="22">
        <f>+BALANCE!F416</f>
        <v>0</v>
      </c>
      <c r="G85" s="22">
        <f>+BALANCE!G416</f>
        <v>-3126.5360900000001</v>
      </c>
      <c r="H85" s="22">
        <f>+BALANCE!H416</f>
        <v>0</v>
      </c>
      <c r="I85" s="22">
        <f>+BALANCE!I416</f>
        <v>-3126.5360900000001</v>
      </c>
      <c r="J85" s="22">
        <f>+BALANCE!J416</f>
        <v>-3126.5360900000001</v>
      </c>
      <c r="K85" s="79">
        <f>+BALANCE!K416</f>
        <v>0</v>
      </c>
    </row>
    <row r="86" spans="1:11" x14ac:dyDescent="0.2">
      <c r="A86" s="93">
        <v>80</v>
      </c>
      <c r="B86" s="20">
        <f>+BALANCE!B417</f>
        <v>149915</v>
      </c>
      <c r="C86" s="21" t="str">
        <f>+BALANCE!C417</f>
        <v>(Cartera de créditos de vivienda)</v>
      </c>
      <c r="D86" s="22">
        <f>+BALANCE!D417</f>
        <v>-428.48183</v>
      </c>
      <c r="E86" s="22">
        <f>+BALANCE!E417</f>
        <v>-428.48183</v>
      </c>
      <c r="F86" s="22">
        <f>+BALANCE!F417</f>
        <v>0</v>
      </c>
      <c r="G86" s="22">
        <f>+BALANCE!G417</f>
        <v>0</v>
      </c>
      <c r="H86" s="22">
        <f>+BALANCE!H417</f>
        <v>0</v>
      </c>
      <c r="I86" s="22">
        <f>+BALANCE!I417</f>
        <v>0</v>
      </c>
      <c r="J86" s="22">
        <f>+BALANCE!J417</f>
        <v>-428.48183</v>
      </c>
      <c r="K86" s="79">
        <f>+BALANCE!K417</f>
        <v>0</v>
      </c>
    </row>
    <row r="87" spans="1:11" x14ac:dyDescent="0.2">
      <c r="A87" s="93">
        <v>81</v>
      </c>
      <c r="B87" s="20">
        <f>+BALANCE!B418</f>
        <v>149920</v>
      </c>
      <c r="C87" s="21" t="str">
        <f>+BALANCE!C418</f>
        <v>(Cartera de créditos para la microempresa)</v>
      </c>
      <c r="D87" s="22">
        <f>+BALANCE!D418</f>
        <v>0</v>
      </c>
      <c r="E87" s="22">
        <f>+BALANCE!E418</f>
        <v>0</v>
      </c>
      <c r="F87" s="22">
        <f>+BALANCE!F418</f>
        <v>0</v>
      </c>
      <c r="G87" s="22">
        <f>+BALANCE!G418</f>
        <v>-8710.1586900000002</v>
      </c>
      <c r="H87" s="22">
        <f>+BALANCE!H418</f>
        <v>-1245.7939899999999</v>
      </c>
      <c r="I87" s="22">
        <f>+BALANCE!I418</f>
        <v>-9955.9526800000003</v>
      </c>
      <c r="J87" s="22">
        <f>+BALANCE!J418</f>
        <v>-9955.9526800000003</v>
      </c>
      <c r="K87" s="79">
        <f>+BALANCE!K418</f>
        <v>0</v>
      </c>
    </row>
    <row r="88" spans="1:11" x14ac:dyDescent="0.2">
      <c r="A88" s="93">
        <v>82</v>
      </c>
      <c r="B88" s="20">
        <f>+BALANCE!B419</f>
        <v>149925</v>
      </c>
      <c r="C88" s="21" t="str">
        <f>+BALANCE!C419</f>
        <v>(Cartera de crédito educativo)</v>
      </c>
      <c r="D88" s="22">
        <f>+BALANCE!D419</f>
        <v>0</v>
      </c>
      <c r="E88" s="22">
        <f>+BALANCE!E419</f>
        <v>0</v>
      </c>
      <c r="F88" s="22">
        <f>+BALANCE!F419</f>
        <v>0</v>
      </c>
      <c r="G88" s="22">
        <f>+BALANCE!G419</f>
        <v>0</v>
      </c>
      <c r="H88" s="22">
        <f>+BALANCE!H419</f>
        <v>0</v>
      </c>
      <c r="I88" s="22">
        <f>+BALANCE!I419</f>
        <v>0</v>
      </c>
      <c r="J88" s="22">
        <f>+BALANCE!J419</f>
        <v>0</v>
      </c>
      <c r="K88" s="79">
        <f>+BALANCE!K419</f>
        <v>-10026.98093</v>
      </c>
    </row>
    <row r="89" spans="1:11" x14ac:dyDescent="0.2">
      <c r="A89" s="93">
        <v>83</v>
      </c>
      <c r="B89" s="20">
        <f>+BALANCE!B420</f>
        <v>149930</v>
      </c>
      <c r="C89" s="21" t="str">
        <f>+BALANCE!C420</f>
        <v>(Cartera de créditos de inversión pública)</v>
      </c>
      <c r="D89" s="22">
        <f>+BALANCE!D420</f>
        <v>0</v>
      </c>
      <c r="E89" s="22">
        <f>+BALANCE!E420</f>
        <v>0</v>
      </c>
      <c r="F89" s="22">
        <f>+BALANCE!F420</f>
        <v>-9485.7468100000006</v>
      </c>
      <c r="G89" s="22">
        <f>+BALANCE!G420</f>
        <v>0</v>
      </c>
      <c r="H89" s="22">
        <f>+BALANCE!H420</f>
        <v>0</v>
      </c>
      <c r="I89" s="22">
        <f>+BALANCE!I420</f>
        <v>-9485.7468100000006</v>
      </c>
      <c r="J89" s="22">
        <f>+BALANCE!J420</f>
        <v>-9485.7468100000006</v>
      </c>
      <c r="K89" s="79">
        <f>+BALANCE!K420</f>
        <v>0</v>
      </c>
    </row>
    <row r="90" spans="1:11" x14ac:dyDescent="0.2">
      <c r="A90" s="93">
        <v>84</v>
      </c>
      <c r="B90" s="20">
        <f>+BALANCE!B421</f>
        <v>149945</v>
      </c>
      <c r="C90" s="21" t="str">
        <f>+BALANCE!C421</f>
        <v>(Cartera de créditos refinanciada)</v>
      </c>
      <c r="D90" s="22">
        <f>+BALANCE!D421</f>
        <v>-7.5570599999999999</v>
      </c>
      <c r="E90" s="22">
        <f>+BALANCE!E421</f>
        <v>-7.5570599999999999</v>
      </c>
      <c r="F90" s="22">
        <f>+BALANCE!F421</f>
        <v>0</v>
      </c>
      <c r="G90" s="22">
        <f>+BALANCE!G421</f>
        <v>0</v>
      </c>
      <c r="H90" s="22">
        <f>+BALANCE!H421</f>
        <v>0</v>
      </c>
      <c r="I90" s="22">
        <f>+BALANCE!I421</f>
        <v>0</v>
      </c>
      <c r="J90" s="22">
        <f>+BALANCE!J421</f>
        <v>-7.5570599999999999</v>
      </c>
      <c r="K90" s="79">
        <f>+BALANCE!K421</f>
        <v>0</v>
      </c>
    </row>
    <row r="91" spans="1:11" x14ac:dyDescent="0.2">
      <c r="A91" s="93">
        <v>85</v>
      </c>
      <c r="B91" s="20">
        <f>+BALANCE!B422</f>
        <v>149950</v>
      </c>
      <c r="C91" s="21" t="str">
        <f>+BALANCE!C422</f>
        <v>(Cartera de créditos reestructurada)</v>
      </c>
      <c r="D91" s="22">
        <f>+BALANCE!D422</f>
        <v>-626.38383999999996</v>
      </c>
      <c r="E91" s="22">
        <f>+BALANCE!E422</f>
        <v>-626.38383999999996</v>
      </c>
      <c r="F91" s="22">
        <f>+BALANCE!F422</f>
        <v>0</v>
      </c>
      <c r="G91" s="22">
        <f>+BALANCE!G422</f>
        <v>-30670.350549999999</v>
      </c>
      <c r="H91" s="22">
        <f>+BALANCE!H422</f>
        <v>-1544.4836700000001</v>
      </c>
      <c r="I91" s="22">
        <f>+BALANCE!I422</f>
        <v>-32214.834220000001</v>
      </c>
      <c r="J91" s="22">
        <f>+BALANCE!J422</f>
        <v>-32841.218059999999</v>
      </c>
      <c r="K91" s="79">
        <f>+BALANCE!K422</f>
        <v>0</v>
      </c>
    </row>
    <row r="92" spans="1:11" x14ac:dyDescent="0.2">
      <c r="A92" s="93">
        <v>86</v>
      </c>
      <c r="B92" s="20">
        <f>+BALANCE!B423</f>
        <v>149990</v>
      </c>
      <c r="C92" s="21" t="str">
        <f>+BALANCE!C423</f>
        <v>(Provisión general para cartera de créditos)</v>
      </c>
      <c r="D92" s="22">
        <f>+BALANCE!D423</f>
        <v>-2315.41284</v>
      </c>
      <c r="E92" s="22">
        <f>+BALANCE!E423</f>
        <v>-2315.41284</v>
      </c>
      <c r="F92" s="22">
        <f>+BALANCE!F423</f>
        <v>-1691.9874600000001</v>
      </c>
      <c r="G92" s="22">
        <f>+BALANCE!G423</f>
        <v>0</v>
      </c>
      <c r="H92" s="22">
        <f>+BALANCE!H423</f>
        <v>-25974.164970000002</v>
      </c>
      <c r="I92" s="22">
        <f>+BALANCE!I423</f>
        <v>-27666.152430000002</v>
      </c>
      <c r="J92" s="22">
        <f>+BALANCE!J423</f>
        <v>-29981.565270000003</v>
      </c>
      <c r="K92" s="79">
        <f>+BALANCE!K423</f>
        <v>-4478.4070000000002</v>
      </c>
    </row>
    <row r="93" spans="1:11" x14ac:dyDescent="0.2">
      <c r="A93" s="93">
        <v>87</v>
      </c>
      <c r="B93" s="20">
        <f>+BALANCE!B424</f>
        <v>15</v>
      </c>
      <c r="C93" s="21" t="str">
        <f>+BALANCE!C424</f>
        <v>DEUDORES POR ACEPTACIONES</v>
      </c>
      <c r="D93" s="22">
        <f>+BALANCE!D424</f>
        <v>0</v>
      </c>
      <c r="E93" s="22">
        <f>+BALANCE!E424</f>
        <v>0</v>
      </c>
      <c r="F93" s="22">
        <f>+BALANCE!F424</f>
        <v>0</v>
      </c>
      <c r="G93" s="22">
        <f>+BALANCE!G424</f>
        <v>0</v>
      </c>
      <c r="H93" s="22">
        <f>+BALANCE!H424</f>
        <v>0</v>
      </c>
      <c r="I93" s="22">
        <f>+BALANCE!I424</f>
        <v>0</v>
      </c>
      <c r="J93" s="22">
        <f>+BALANCE!J424</f>
        <v>0</v>
      </c>
      <c r="K93" s="79">
        <f>+BALANCE!K424</f>
        <v>0</v>
      </c>
    </row>
    <row r="94" spans="1:11" x14ac:dyDescent="0.2">
      <c r="A94" s="93">
        <v>88</v>
      </c>
      <c r="B94" s="20">
        <f>+BALANCE!B427</f>
        <v>16</v>
      </c>
      <c r="C94" s="21" t="str">
        <f>+BALANCE!C427</f>
        <v>CUENTAS POR COBRAR</v>
      </c>
      <c r="D94" s="22">
        <f>+BALANCE!D427</f>
        <v>3355.36913</v>
      </c>
      <c r="E94" s="22">
        <f>+BALANCE!E427</f>
        <v>3355.36913</v>
      </c>
      <c r="F94" s="22">
        <f>+BALANCE!F427</f>
        <v>72344.741649999996</v>
      </c>
      <c r="G94" s="22">
        <f>+BALANCE!G427</f>
        <v>203581.0502</v>
      </c>
      <c r="H94" s="22">
        <f>+BALANCE!H427</f>
        <v>82129.793619999997</v>
      </c>
      <c r="I94" s="22">
        <f>+BALANCE!I427</f>
        <v>358055.58546999999</v>
      </c>
      <c r="J94" s="22">
        <f>+BALANCE!J427</f>
        <v>361410.9546</v>
      </c>
      <c r="K94" s="79">
        <f>+BALANCE!K427</f>
        <v>2569.4989300000002</v>
      </c>
    </row>
    <row r="95" spans="1:11" x14ac:dyDescent="0.2">
      <c r="A95" s="93">
        <v>89</v>
      </c>
      <c r="B95" s="20">
        <f>+BALANCE!B428</f>
        <v>1601</v>
      </c>
      <c r="C95" s="21" t="str">
        <f>+BALANCE!C428</f>
        <v>Intereses por cobrar de operaciones interbancarias</v>
      </c>
      <c r="D95" s="22">
        <f>+BALANCE!D428</f>
        <v>0</v>
      </c>
      <c r="E95" s="22">
        <f>+BALANCE!E428</f>
        <v>0</v>
      </c>
      <c r="F95" s="22">
        <f>+BALANCE!F428</f>
        <v>0</v>
      </c>
      <c r="G95" s="22">
        <f>+BALANCE!G428</f>
        <v>0</v>
      </c>
      <c r="H95" s="22">
        <f>+BALANCE!H428</f>
        <v>0</v>
      </c>
      <c r="I95" s="22">
        <f>+BALANCE!I428</f>
        <v>0</v>
      </c>
      <c r="J95" s="22">
        <f>+BALANCE!J428</f>
        <v>0</v>
      </c>
      <c r="K95" s="79">
        <f>+BALANCE!K428</f>
        <v>0</v>
      </c>
    </row>
    <row r="96" spans="1:11" x14ac:dyDescent="0.2">
      <c r="A96" s="93">
        <v>90</v>
      </c>
      <c r="B96" s="20">
        <f>+BALANCE!B431</f>
        <v>1602</v>
      </c>
      <c r="C96" s="21" t="str">
        <f>+BALANCE!C431</f>
        <v>Intereses por cobrar inversiones</v>
      </c>
      <c r="D96" s="22">
        <f>+BALANCE!D431</f>
        <v>291.84158000000002</v>
      </c>
      <c r="E96" s="22">
        <f>+BALANCE!E431</f>
        <v>291.84158000000002</v>
      </c>
      <c r="F96" s="22">
        <f>+BALANCE!F431</f>
        <v>363.625</v>
      </c>
      <c r="G96" s="22">
        <f>+BALANCE!G431</f>
        <v>930.27409</v>
      </c>
      <c r="H96" s="22">
        <f>+BALANCE!H431</f>
        <v>3196.2276099999999</v>
      </c>
      <c r="I96" s="22">
        <f>+BALANCE!I431</f>
        <v>4490.1266999999998</v>
      </c>
      <c r="J96" s="22">
        <f>+BALANCE!J431</f>
        <v>4781.96828</v>
      </c>
      <c r="K96" s="79">
        <f>+BALANCE!K431</f>
        <v>0</v>
      </c>
    </row>
    <row r="97" spans="1:11" x14ac:dyDescent="0.2">
      <c r="A97" s="93">
        <v>91</v>
      </c>
      <c r="B97" s="20">
        <f>+BALANCE!B436</f>
        <v>1603</v>
      </c>
      <c r="C97" s="21" t="str">
        <f>+BALANCE!C436</f>
        <v>Intereses por cobrar de cartera de créditos</v>
      </c>
      <c r="D97" s="22">
        <f>+BALANCE!D436</f>
        <v>818.37465999999995</v>
      </c>
      <c r="E97" s="22">
        <f>+BALANCE!E436</f>
        <v>818.37465999999995</v>
      </c>
      <c r="F97" s="22">
        <f>+BALANCE!F436</f>
        <v>3155.1195299999999</v>
      </c>
      <c r="G97" s="22">
        <f>+BALANCE!G436</f>
        <v>23611.48184</v>
      </c>
      <c r="H97" s="22">
        <f>+BALANCE!H436</f>
        <v>10872.575639999999</v>
      </c>
      <c r="I97" s="22">
        <f>+BALANCE!I436</f>
        <v>37639.177009999999</v>
      </c>
      <c r="J97" s="22">
        <f>+BALANCE!J436</f>
        <v>38457.551670000001</v>
      </c>
      <c r="K97" s="79">
        <f>+BALANCE!K436</f>
        <v>296.26765999999998</v>
      </c>
    </row>
    <row r="98" spans="1:11" x14ac:dyDescent="0.2">
      <c r="A98" s="93">
        <v>92</v>
      </c>
      <c r="B98" s="20">
        <f>+BALANCE!B445</f>
        <v>1604</v>
      </c>
      <c r="C98" s="21" t="str">
        <f>+BALANCE!C445</f>
        <v>Otros intereses por cobrar</v>
      </c>
      <c r="D98" s="22">
        <f>+BALANCE!D445</f>
        <v>0</v>
      </c>
      <c r="E98" s="22">
        <f>+BALANCE!E445</f>
        <v>0</v>
      </c>
      <c r="F98" s="22">
        <f>+BALANCE!F445</f>
        <v>0</v>
      </c>
      <c r="G98" s="22">
        <f>+BALANCE!G445</f>
        <v>18.950410000000002</v>
      </c>
      <c r="H98" s="22">
        <f>+BALANCE!H445</f>
        <v>309.14350000000002</v>
      </c>
      <c r="I98" s="22">
        <f>+BALANCE!I445</f>
        <v>328.09390999999999</v>
      </c>
      <c r="J98" s="22">
        <f>+BALANCE!J445</f>
        <v>328.09390999999999</v>
      </c>
      <c r="K98" s="79">
        <f>+BALANCE!K445</f>
        <v>0</v>
      </c>
    </row>
    <row r="99" spans="1:11" x14ac:dyDescent="0.2">
      <c r="A99" s="93">
        <v>93</v>
      </c>
      <c r="B99" s="20">
        <f>+BALANCE!B446</f>
        <v>1605</v>
      </c>
      <c r="C99" s="21" t="str">
        <f>+BALANCE!C446</f>
        <v>Comisiones por cobrar</v>
      </c>
      <c r="D99" s="22">
        <f>+BALANCE!D446</f>
        <v>0</v>
      </c>
      <c r="E99" s="22">
        <f>+BALANCE!E446</f>
        <v>0</v>
      </c>
      <c r="F99" s="22">
        <f>+BALANCE!F446</f>
        <v>0.17757000000000001</v>
      </c>
      <c r="G99" s="22">
        <f>+BALANCE!G446</f>
        <v>54.685369999999999</v>
      </c>
      <c r="H99" s="22">
        <f>+BALANCE!H446</f>
        <v>0</v>
      </c>
      <c r="I99" s="22">
        <f>+BALANCE!I446</f>
        <v>54.862940000000002</v>
      </c>
      <c r="J99" s="22">
        <f>+BALANCE!J446</f>
        <v>54.862940000000002</v>
      </c>
      <c r="K99" s="79">
        <f>+BALANCE!K446</f>
        <v>0</v>
      </c>
    </row>
    <row r="100" spans="1:11" x14ac:dyDescent="0.2">
      <c r="A100" s="93">
        <v>94</v>
      </c>
      <c r="B100" s="20">
        <f>+BALANCE!B451</f>
        <v>1606</v>
      </c>
      <c r="C100" s="21" t="str">
        <f>+BALANCE!C451</f>
        <v>Rendimientos por cobrar de fideicomisos mercantiles</v>
      </c>
      <c r="D100" s="22">
        <f>+BALANCE!D451</f>
        <v>0</v>
      </c>
      <c r="E100" s="22">
        <f>+BALANCE!E451</f>
        <v>0</v>
      </c>
      <c r="F100" s="22">
        <f>+BALANCE!F451</f>
        <v>0</v>
      </c>
      <c r="G100" s="22">
        <f>+BALANCE!G451</f>
        <v>0</v>
      </c>
      <c r="H100" s="22">
        <f>+BALANCE!H451</f>
        <v>0</v>
      </c>
      <c r="I100" s="22">
        <f>+BALANCE!I451</f>
        <v>0</v>
      </c>
      <c r="J100" s="22">
        <f>+BALANCE!J451</f>
        <v>0</v>
      </c>
      <c r="K100" s="79">
        <f>+BALANCE!K451</f>
        <v>0</v>
      </c>
    </row>
    <row r="101" spans="1:11" x14ac:dyDescent="0.2">
      <c r="A101" s="93">
        <v>95</v>
      </c>
      <c r="B101" s="20">
        <f>+BALANCE!B452</f>
        <v>1607</v>
      </c>
      <c r="C101" s="21" t="str">
        <f>+BALANCE!C452</f>
        <v>Facturas por cobrar</v>
      </c>
      <c r="D101" s="22">
        <f>+BALANCE!D452</f>
        <v>0</v>
      </c>
      <c r="E101" s="22">
        <f>+BALANCE!E452</f>
        <v>0</v>
      </c>
      <c r="F101" s="22">
        <f>+BALANCE!F452</f>
        <v>0</v>
      </c>
      <c r="G101" s="22">
        <f>+BALANCE!G452</f>
        <v>0</v>
      </c>
      <c r="H101" s="22">
        <f>+BALANCE!H452</f>
        <v>0</v>
      </c>
      <c r="I101" s="22">
        <f>+BALANCE!I452</f>
        <v>0</v>
      </c>
      <c r="J101" s="22">
        <f>+BALANCE!J452</f>
        <v>0</v>
      </c>
      <c r="K101" s="79">
        <f>+BALANCE!K452</f>
        <v>0</v>
      </c>
    </row>
    <row r="102" spans="1:11" x14ac:dyDescent="0.2">
      <c r="A102" s="93">
        <v>96</v>
      </c>
      <c r="B102" s="20">
        <f>+BALANCE!B453</f>
        <v>1608</v>
      </c>
      <c r="C102" s="21" t="str">
        <f>+BALANCE!C453</f>
        <v>Deudores por disposición de mercaderías</v>
      </c>
      <c r="D102" s="22">
        <f>+BALANCE!D453</f>
        <v>0</v>
      </c>
      <c r="E102" s="22">
        <f>+BALANCE!E453</f>
        <v>0</v>
      </c>
      <c r="F102" s="22">
        <f>+BALANCE!F453</f>
        <v>0</v>
      </c>
      <c r="G102" s="22">
        <f>+BALANCE!G453</f>
        <v>0</v>
      </c>
      <c r="H102" s="22">
        <f>+BALANCE!H453</f>
        <v>0</v>
      </c>
      <c r="I102" s="22">
        <f>+BALANCE!I453</f>
        <v>0</v>
      </c>
      <c r="J102" s="22">
        <f>+BALANCE!J453</f>
        <v>0</v>
      </c>
      <c r="K102" s="79">
        <f>+BALANCE!K453</f>
        <v>0</v>
      </c>
    </row>
    <row r="103" spans="1:11" x14ac:dyDescent="0.2">
      <c r="A103" s="93">
        <v>97</v>
      </c>
      <c r="B103" s="20">
        <f>+BALANCE!B454</f>
        <v>1609</v>
      </c>
      <c r="C103" s="21" t="str">
        <f>+BALANCE!C454</f>
        <v>Garantías y retrogarantías pendientes de cobro</v>
      </c>
      <c r="D103" s="22">
        <f>+BALANCE!D454</f>
        <v>0</v>
      </c>
      <c r="E103" s="22">
        <f>+BALANCE!E454</f>
        <v>0</v>
      </c>
      <c r="F103" s="22">
        <f>+BALANCE!F454</f>
        <v>0</v>
      </c>
      <c r="G103" s="22">
        <f>+BALANCE!G454</f>
        <v>0</v>
      </c>
      <c r="H103" s="22">
        <f>+BALANCE!H454</f>
        <v>0</v>
      </c>
      <c r="I103" s="22">
        <f>+BALANCE!I454</f>
        <v>0</v>
      </c>
      <c r="J103" s="22">
        <f>+BALANCE!J454</f>
        <v>0</v>
      </c>
      <c r="K103" s="79">
        <f>+BALANCE!K454</f>
        <v>0</v>
      </c>
    </row>
    <row r="104" spans="1:11" x14ac:dyDescent="0.2">
      <c r="A104" s="93">
        <v>98</v>
      </c>
      <c r="B104" s="20">
        <f>+BALANCE!B455</f>
        <v>1611</v>
      </c>
      <c r="C104" s="21" t="str">
        <f>+BALANCE!C455</f>
        <v>Anticipo para adquisición de acciones</v>
      </c>
      <c r="D104" s="22">
        <f>+BALANCE!D455</f>
        <v>0</v>
      </c>
      <c r="E104" s="22">
        <f>+BALANCE!E455</f>
        <v>0</v>
      </c>
      <c r="F104" s="22">
        <f>+BALANCE!F455</f>
        <v>0</v>
      </c>
      <c r="G104" s="22">
        <f>+BALANCE!G455</f>
        <v>0</v>
      </c>
      <c r="H104" s="22">
        <f>+BALANCE!H455</f>
        <v>0</v>
      </c>
      <c r="I104" s="22">
        <f>+BALANCE!I455</f>
        <v>0</v>
      </c>
      <c r="J104" s="22">
        <f>+BALANCE!J455</f>
        <v>0</v>
      </c>
      <c r="K104" s="79">
        <f>+BALANCE!K455</f>
        <v>0</v>
      </c>
    </row>
    <row r="105" spans="1:11" x14ac:dyDescent="0.2">
      <c r="A105" s="93">
        <v>99</v>
      </c>
      <c r="B105" s="20">
        <f>+BALANCE!B456</f>
        <v>1612</v>
      </c>
      <c r="C105" s="21" t="str">
        <f>+BALANCE!C456</f>
        <v>Inversiones vencidas</v>
      </c>
      <c r="D105" s="22">
        <f>+BALANCE!D456</f>
        <v>0</v>
      </c>
      <c r="E105" s="22">
        <f>+BALANCE!E456</f>
        <v>0</v>
      </c>
      <c r="F105" s="22">
        <f>+BALANCE!F456</f>
        <v>0</v>
      </c>
      <c r="G105" s="22">
        <f>+BALANCE!G456</f>
        <v>1E-3</v>
      </c>
      <c r="H105" s="22">
        <f>+BALANCE!H456</f>
        <v>5619.8736200000003</v>
      </c>
      <c r="I105" s="22">
        <f>+BALANCE!I456</f>
        <v>5619.8746200000005</v>
      </c>
      <c r="J105" s="22">
        <f>+BALANCE!J456</f>
        <v>5619.8746200000005</v>
      </c>
      <c r="K105" s="79">
        <f>+BALANCE!K456</f>
        <v>0</v>
      </c>
    </row>
    <row r="106" spans="1:11" x14ac:dyDescent="0.2">
      <c r="A106" s="93">
        <v>100</v>
      </c>
      <c r="B106" s="20">
        <f>+BALANCE!B457</f>
        <v>1613</v>
      </c>
      <c r="C106" s="21" t="str">
        <f>+BALANCE!C457</f>
        <v>Dividendos pagados por anticipado</v>
      </c>
      <c r="D106" s="22">
        <f>+BALANCE!D457</f>
        <v>0</v>
      </c>
      <c r="E106" s="22">
        <f>+BALANCE!E457</f>
        <v>0</v>
      </c>
      <c r="F106" s="22">
        <f>+BALANCE!F457</f>
        <v>0</v>
      </c>
      <c r="G106" s="22">
        <f>+BALANCE!G457</f>
        <v>0</v>
      </c>
      <c r="H106" s="22">
        <f>+BALANCE!H457</f>
        <v>0</v>
      </c>
      <c r="I106" s="22">
        <f>+BALANCE!I457</f>
        <v>0</v>
      </c>
      <c r="J106" s="22">
        <f>+BALANCE!J457</f>
        <v>0</v>
      </c>
      <c r="K106" s="79">
        <f>+BALANCE!K457</f>
        <v>0</v>
      </c>
    </row>
    <row r="107" spans="1:11" x14ac:dyDescent="0.2">
      <c r="A107" s="93">
        <v>101</v>
      </c>
      <c r="B107" s="20">
        <f>+BALANCE!B458</f>
        <v>1614</v>
      </c>
      <c r="C107" s="21" t="str">
        <f>+BALANCE!C458</f>
        <v>Pagos por cuenta de clientes</v>
      </c>
      <c r="D107" s="22">
        <f>+BALANCE!D458</f>
        <v>149.49474000000001</v>
      </c>
      <c r="E107" s="22">
        <f>+BALANCE!E458</f>
        <v>149.49474000000001</v>
      </c>
      <c r="F107" s="22">
        <f>+BALANCE!F458</f>
        <v>0</v>
      </c>
      <c r="G107" s="22">
        <f>+BALANCE!G458</f>
        <v>506.82641999999998</v>
      </c>
      <c r="H107" s="22">
        <f>+BALANCE!H458</f>
        <v>8163.9359599999998</v>
      </c>
      <c r="I107" s="22">
        <f>+BALANCE!I458</f>
        <v>8670.7623800000001</v>
      </c>
      <c r="J107" s="22">
        <f>+BALANCE!J458</f>
        <v>8820.2571200000002</v>
      </c>
      <c r="K107" s="79">
        <f>+BALANCE!K458</f>
        <v>0</v>
      </c>
    </row>
    <row r="108" spans="1:11" x14ac:dyDescent="0.2">
      <c r="A108" s="93">
        <v>102</v>
      </c>
      <c r="B108" s="20">
        <f>+BALANCE!B466</f>
        <v>1615</v>
      </c>
      <c r="C108" s="21" t="str">
        <f>+BALANCE!C466</f>
        <v>Intereses reestructurados por cobrar</v>
      </c>
      <c r="D108" s="22">
        <f>+BALANCE!D466</f>
        <v>49.096559999999997</v>
      </c>
      <c r="E108" s="22">
        <f>+BALANCE!E466</f>
        <v>49.096559999999997</v>
      </c>
      <c r="F108" s="22">
        <f>+BALANCE!F466</f>
        <v>0</v>
      </c>
      <c r="G108" s="22">
        <f>+BALANCE!G466</f>
        <v>3815.42218</v>
      </c>
      <c r="H108" s="22">
        <f>+BALANCE!H466</f>
        <v>2185.8387200000002</v>
      </c>
      <c r="I108" s="22">
        <f>+BALANCE!I466</f>
        <v>6001.2609000000002</v>
      </c>
      <c r="J108" s="22">
        <f>+BALANCE!J466</f>
        <v>6050.3574600000002</v>
      </c>
      <c r="K108" s="79">
        <f>+BALANCE!K466</f>
        <v>0</v>
      </c>
    </row>
    <row r="109" spans="1:11" x14ac:dyDescent="0.2">
      <c r="A109" s="93">
        <v>103</v>
      </c>
      <c r="B109" s="20">
        <f>+BALANCE!B473</f>
        <v>1690</v>
      </c>
      <c r="C109" s="21" t="str">
        <f>+BALANCE!C473</f>
        <v>Cuentas por cobrar varias</v>
      </c>
      <c r="D109" s="22">
        <f>+BALANCE!D473</f>
        <v>9818.7318599999999</v>
      </c>
      <c r="E109" s="22">
        <f>+BALANCE!E473</f>
        <v>9818.7318599999999</v>
      </c>
      <c r="F109" s="22">
        <f>+BALANCE!F473</f>
        <v>69734.350659999996</v>
      </c>
      <c r="G109" s="22">
        <f>+BALANCE!G473</f>
        <v>181466.08265999999</v>
      </c>
      <c r="H109" s="22">
        <f>+BALANCE!H473</f>
        <v>74256.043990000006</v>
      </c>
      <c r="I109" s="22">
        <f>+BALANCE!I473</f>
        <v>325456.47730999999</v>
      </c>
      <c r="J109" s="22">
        <f>+BALANCE!J473</f>
        <v>335275.20916999999</v>
      </c>
      <c r="K109" s="79">
        <f>+BALANCE!K473</f>
        <v>3507.1830300000001</v>
      </c>
    </row>
    <row r="110" spans="1:11" x14ac:dyDescent="0.2">
      <c r="A110" s="93">
        <v>104</v>
      </c>
      <c r="B110" s="20">
        <f>+BALANCE!B482</f>
        <v>1699</v>
      </c>
      <c r="C110" s="21" t="str">
        <f>+BALANCE!C482</f>
        <v>(Provisión para cuentas por cobrar)</v>
      </c>
      <c r="D110" s="22">
        <f>+BALANCE!D482</f>
        <v>-7772.1702699999996</v>
      </c>
      <c r="E110" s="22">
        <f>+BALANCE!E482</f>
        <v>-7772.1702699999996</v>
      </c>
      <c r="F110" s="22">
        <f>+BALANCE!F482</f>
        <v>-908.53111000000001</v>
      </c>
      <c r="G110" s="22">
        <f>+BALANCE!G482</f>
        <v>-6822.6737700000003</v>
      </c>
      <c r="H110" s="22">
        <f>+BALANCE!H482</f>
        <v>-22473.845420000001</v>
      </c>
      <c r="I110" s="22">
        <f>+BALANCE!I482</f>
        <v>-30205.050300000003</v>
      </c>
      <c r="J110" s="22">
        <f>+BALANCE!J482</f>
        <v>-37977.220570000005</v>
      </c>
      <c r="K110" s="79">
        <f>+BALANCE!K482</f>
        <v>-1233.9517599999999</v>
      </c>
    </row>
    <row r="111" spans="1:11" x14ac:dyDescent="0.2">
      <c r="A111" s="93">
        <v>105</v>
      </c>
      <c r="B111" s="20">
        <f>+BALANCE!B485</f>
        <v>17</v>
      </c>
      <c r="C111" s="21" t="str">
        <f>+BALANCE!C485</f>
        <v>BIENES REALIZABLES, ADJUDICADOS POR PAGO, DE ARRENDAMIENTO MERCANTIL Y NO UTILIZADOS POR LA INSTITUCION</v>
      </c>
      <c r="D111" s="22">
        <f>+BALANCE!D485</f>
        <v>23015.34547</v>
      </c>
      <c r="E111" s="22">
        <f>+BALANCE!E485</f>
        <v>23015.34547</v>
      </c>
      <c r="F111" s="22">
        <f>+BALANCE!F485</f>
        <v>6706.2979800000003</v>
      </c>
      <c r="G111" s="22">
        <f>+BALANCE!G485</f>
        <v>2139.7321299999999</v>
      </c>
      <c r="H111" s="22">
        <f>+BALANCE!H485</f>
        <v>10645.76331</v>
      </c>
      <c r="I111" s="22">
        <f>+BALANCE!I485</f>
        <v>19491.793420000002</v>
      </c>
      <c r="J111" s="22">
        <f>+BALANCE!J485</f>
        <v>42507.138890000002</v>
      </c>
      <c r="K111" s="79">
        <f>+BALANCE!K485</f>
        <v>0</v>
      </c>
    </row>
    <row r="112" spans="1:11" x14ac:dyDescent="0.2">
      <c r="A112" s="93">
        <v>106</v>
      </c>
      <c r="B112" s="20">
        <f>+BALANCE!B486</f>
        <v>1701</v>
      </c>
      <c r="C112" s="21" t="str">
        <f>+BALANCE!C486</f>
        <v>Bienes realizables</v>
      </c>
      <c r="D112" s="22">
        <f>+BALANCE!D486</f>
        <v>20888.146720000001</v>
      </c>
      <c r="E112" s="22">
        <f>+BALANCE!E486</f>
        <v>20888.146720000001</v>
      </c>
      <c r="F112" s="22">
        <f>+BALANCE!F486</f>
        <v>0</v>
      </c>
      <c r="G112" s="22">
        <f>+BALANCE!G486</f>
        <v>0</v>
      </c>
      <c r="H112" s="22">
        <f>+BALANCE!H486</f>
        <v>0</v>
      </c>
      <c r="I112" s="22">
        <f>+BALANCE!I486</f>
        <v>0</v>
      </c>
      <c r="J112" s="22">
        <f>+BALANCE!J486</f>
        <v>20888.146720000001</v>
      </c>
      <c r="K112" s="79">
        <f>+BALANCE!K486</f>
        <v>0</v>
      </c>
    </row>
    <row r="113" spans="1:11" x14ac:dyDescent="0.2">
      <c r="A113" s="93">
        <v>107</v>
      </c>
      <c r="B113" s="20">
        <f>+BALANCE!B491</f>
        <v>1702</v>
      </c>
      <c r="C113" s="21" t="str">
        <f>+BALANCE!C491</f>
        <v>Bienes adjudicados por pago</v>
      </c>
      <c r="D113" s="22">
        <f>+BALANCE!D491</f>
        <v>613.54807000000005</v>
      </c>
      <c r="E113" s="22">
        <f>+BALANCE!E491</f>
        <v>613.54807000000005</v>
      </c>
      <c r="F113" s="22">
        <f>+BALANCE!F491</f>
        <v>26.138200000000001</v>
      </c>
      <c r="G113" s="22">
        <f>+BALANCE!G491</f>
        <v>38.13879</v>
      </c>
      <c r="H113" s="22">
        <f>+BALANCE!H491</f>
        <v>18327.920549999999</v>
      </c>
      <c r="I113" s="22">
        <f>+BALANCE!I491</f>
        <v>18392.197539999997</v>
      </c>
      <c r="J113" s="22">
        <f>+BALANCE!J491</f>
        <v>19005.745609999998</v>
      </c>
      <c r="K113" s="79">
        <f>+BALANCE!K491</f>
        <v>0</v>
      </c>
    </row>
    <row r="114" spans="1:11" x14ac:dyDescent="0.2">
      <c r="A114" s="93">
        <v>108</v>
      </c>
      <c r="B114" s="20">
        <f>+BALANCE!B502</f>
        <v>1703</v>
      </c>
      <c r="C114" s="21" t="str">
        <f>+BALANCE!C502</f>
        <v>Bienes por arrendar</v>
      </c>
      <c r="D114" s="22">
        <f>+BALANCE!D502</f>
        <v>0</v>
      </c>
      <c r="E114" s="22">
        <f>+BALANCE!E502</f>
        <v>0</v>
      </c>
      <c r="F114" s="22">
        <f>+BALANCE!F502</f>
        <v>0</v>
      </c>
      <c r="G114" s="22">
        <f>+BALANCE!G502</f>
        <v>0</v>
      </c>
      <c r="H114" s="22">
        <f>+BALANCE!H502</f>
        <v>0</v>
      </c>
      <c r="I114" s="22">
        <f>+BALANCE!I502</f>
        <v>0</v>
      </c>
      <c r="J114" s="22">
        <f>+BALANCE!J502</f>
        <v>0</v>
      </c>
      <c r="K114" s="79">
        <f>+BALANCE!K502</f>
        <v>0</v>
      </c>
    </row>
    <row r="115" spans="1:11" x14ac:dyDescent="0.2">
      <c r="A115" s="93">
        <v>109</v>
      </c>
      <c r="B115" s="20">
        <f>+BALANCE!B505</f>
        <v>1704</v>
      </c>
      <c r="C115" s="21" t="str">
        <f>+BALANCE!C505</f>
        <v>Bienes recuperados</v>
      </c>
      <c r="D115" s="22">
        <f>+BALANCE!D505</f>
        <v>0</v>
      </c>
      <c r="E115" s="22">
        <f>+BALANCE!E505</f>
        <v>0</v>
      </c>
      <c r="F115" s="22">
        <f>+BALANCE!F505</f>
        <v>0</v>
      </c>
      <c r="G115" s="22">
        <f>+BALANCE!G505</f>
        <v>0</v>
      </c>
      <c r="H115" s="22">
        <f>+BALANCE!H505</f>
        <v>0</v>
      </c>
      <c r="I115" s="22">
        <f>+BALANCE!I505</f>
        <v>0</v>
      </c>
      <c r="J115" s="22">
        <f>+BALANCE!J505</f>
        <v>0</v>
      </c>
      <c r="K115" s="79">
        <f>+BALANCE!K505</f>
        <v>0</v>
      </c>
    </row>
    <row r="116" spans="1:11" x14ac:dyDescent="0.2">
      <c r="A116" s="93">
        <v>110</v>
      </c>
      <c r="B116" s="20">
        <f>+BALANCE!B513</f>
        <v>1705</v>
      </c>
      <c r="C116" s="21" t="str">
        <f>+BALANCE!C513</f>
        <v>Bienes arrendados</v>
      </c>
      <c r="D116" s="22">
        <f>+BALANCE!D513</f>
        <v>0</v>
      </c>
      <c r="E116" s="22">
        <f>+BALANCE!E513</f>
        <v>0</v>
      </c>
      <c r="F116" s="22">
        <f>+BALANCE!F513</f>
        <v>0</v>
      </c>
      <c r="G116" s="22">
        <f>+BALANCE!G513</f>
        <v>0</v>
      </c>
      <c r="H116" s="22">
        <f>+BALANCE!H513</f>
        <v>1E-3</v>
      </c>
      <c r="I116" s="22">
        <f>+BALANCE!I513</f>
        <v>1E-3</v>
      </c>
      <c r="J116" s="22">
        <f>+BALANCE!J513</f>
        <v>1E-3</v>
      </c>
      <c r="K116" s="79">
        <f>+BALANCE!K513</f>
        <v>0</v>
      </c>
    </row>
    <row r="117" spans="1:11" x14ac:dyDescent="0.2">
      <c r="A117" s="93">
        <v>111</v>
      </c>
      <c r="B117" s="20">
        <f>+BALANCE!B522</f>
        <v>1706</v>
      </c>
      <c r="C117" s="21" t="str">
        <f>+BALANCE!C522</f>
        <v>Bienes no utilizados por la institución</v>
      </c>
      <c r="D117" s="22">
        <f>+BALANCE!D522</f>
        <v>2269.2907399999999</v>
      </c>
      <c r="E117" s="22">
        <f>+BALANCE!E522</f>
        <v>2269.2907399999999</v>
      </c>
      <c r="F117" s="22">
        <f>+BALANCE!F522</f>
        <v>6706.2979800000003</v>
      </c>
      <c r="G117" s="22">
        <f>+BALANCE!G522</f>
        <v>2139.7321299999999</v>
      </c>
      <c r="H117" s="22">
        <f>+BALANCE!H522</f>
        <v>360.92547999999999</v>
      </c>
      <c r="I117" s="22">
        <f>+BALANCE!I522</f>
        <v>9206.9555899999996</v>
      </c>
      <c r="J117" s="22">
        <f>+BALANCE!J522</f>
        <v>11476.24633</v>
      </c>
      <c r="K117" s="79">
        <f>+BALANCE!K522</f>
        <v>0</v>
      </c>
    </row>
    <row r="118" spans="1:11" x14ac:dyDescent="0.2">
      <c r="A118" s="93">
        <v>112</v>
      </c>
      <c r="B118" s="20">
        <f>+BALANCE!B529</f>
        <v>1799</v>
      </c>
      <c r="C118" s="21" t="str">
        <f>+BALANCE!C529</f>
        <v>(Provisión para bienes realizables, adjudicados por pago y recuperados)</v>
      </c>
      <c r="D118" s="22">
        <f>+BALANCE!D529</f>
        <v>-755.64005999999995</v>
      </c>
      <c r="E118" s="22">
        <f>+BALANCE!E529</f>
        <v>-755.64005999999995</v>
      </c>
      <c r="F118" s="22">
        <f>+BALANCE!F529</f>
        <v>-26.138200000000001</v>
      </c>
      <c r="G118" s="22">
        <f>+BALANCE!G529</f>
        <v>-38.13879</v>
      </c>
      <c r="H118" s="22">
        <f>+BALANCE!H529</f>
        <v>-8043.0837199999996</v>
      </c>
      <c r="I118" s="22">
        <f>+BALANCE!I529</f>
        <v>-8107.3607099999999</v>
      </c>
      <c r="J118" s="22">
        <f>+BALANCE!J529</f>
        <v>-8863.0007700000006</v>
      </c>
      <c r="K118" s="79">
        <f>+BALANCE!K529</f>
        <v>0</v>
      </c>
    </row>
    <row r="119" spans="1:11" x14ac:dyDescent="0.2">
      <c r="A119" s="93">
        <v>113</v>
      </c>
      <c r="B119" s="20">
        <f>+BALANCE!B534</f>
        <v>18</v>
      </c>
      <c r="C119" s="21" t="str">
        <f>+BALANCE!C534</f>
        <v>PROPIEDADES Y EQUIPO</v>
      </c>
      <c r="D119" s="22">
        <f>+BALANCE!D534</f>
        <v>7079.7335199999998</v>
      </c>
      <c r="E119" s="22">
        <f>+BALANCE!E534</f>
        <v>7079.7335199999998</v>
      </c>
      <c r="F119" s="22">
        <f>+BALANCE!F534</f>
        <v>5522.7246299999997</v>
      </c>
      <c r="G119" s="22">
        <f>+BALANCE!G534</f>
        <v>28830.328750000001</v>
      </c>
      <c r="H119" s="22">
        <f>+BALANCE!H534</f>
        <v>37892.1008</v>
      </c>
      <c r="I119" s="22">
        <f>+BALANCE!I534</f>
        <v>72245.154179999998</v>
      </c>
      <c r="J119" s="22">
        <f>+BALANCE!J534</f>
        <v>79324.887699999992</v>
      </c>
      <c r="K119" s="79">
        <f>+BALANCE!K534</f>
        <v>7496.7115000000003</v>
      </c>
    </row>
    <row r="120" spans="1:11" x14ac:dyDescent="0.2">
      <c r="A120" s="93">
        <v>114</v>
      </c>
      <c r="B120" s="20">
        <f>+BALANCE!B536</f>
        <v>1802</v>
      </c>
      <c r="C120" s="21" t="str">
        <f>+BALANCE!C536</f>
        <v>Edificios</v>
      </c>
      <c r="D120" s="22">
        <f>+BALANCE!D536</f>
        <v>5952.5547900000001</v>
      </c>
      <c r="E120" s="22">
        <f>+BALANCE!E536</f>
        <v>5952.5547900000001</v>
      </c>
      <c r="F120" s="22">
        <f>+BALANCE!F536</f>
        <v>8715.7420299999994</v>
      </c>
      <c r="G120" s="22">
        <f>+BALANCE!G536</f>
        <v>22165.06511</v>
      </c>
      <c r="H120" s="22">
        <f>+BALANCE!H536</f>
        <v>36971.360000000001</v>
      </c>
      <c r="I120" s="22">
        <f>+BALANCE!I536</f>
        <v>67852.167140000005</v>
      </c>
      <c r="J120" s="22">
        <f>+BALANCE!J536</f>
        <v>73804.72193</v>
      </c>
      <c r="K120" s="79">
        <f>+BALANCE!K536</f>
        <v>1232.6818000000001</v>
      </c>
    </row>
    <row r="121" spans="1:11" x14ac:dyDescent="0.2">
      <c r="A121" s="93">
        <v>115</v>
      </c>
      <c r="B121" s="20">
        <f>+BALANCE!B539</f>
        <v>1805</v>
      </c>
      <c r="C121" s="21" t="str">
        <f>+BALANCE!C539</f>
        <v>Muebles, enseres y equipos de oficina</v>
      </c>
      <c r="D121" s="22">
        <f>+BALANCE!D539</f>
        <v>754.03380000000004</v>
      </c>
      <c r="E121" s="22">
        <f>+BALANCE!E539</f>
        <v>754.03380000000004</v>
      </c>
      <c r="F121" s="22">
        <f>+BALANCE!F539</f>
        <v>3274.7734999999998</v>
      </c>
      <c r="G121" s="22">
        <f>+BALANCE!G539</f>
        <v>6953.4670999999998</v>
      </c>
      <c r="H121" s="22">
        <f>+BALANCE!H539</f>
        <v>3095.6127999999999</v>
      </c>
      <c r="I121" s="22">
        <f>+BALANCE!I539</f>
        <v>13323.8534</v>
      </c>
      <c r="J121" s="22">
        <f>+BALANCE!J539</f>
        <v>14077.887199999999</v>
      </c>
      <c r="K121" s="79">
        <f>+BALANCE!K539</f>
        <v>1426.5281500000001</v>
      </c>
    </row>
    <row r="122" spans="1:11" x14ac:dyDescent="0.2">
      <c r="A122" s="93">
        <v>116</v>
      </c>
      <c r="B122" s="20">
        <f>+BALANCE!B540</f>
        <v>1806</v>
      </c>
      <c r="C122" s="21" t="str">
        <f>+BALANCE!C540</f>
        <v>Equipos de computación</v>
      </c>
      <c r="D122" s="22">
        <f>+BALANCE!D540</f>
        <v>1910.0837100000001</v>
      </c>
      <c r="E122" s="22">
        <f>+BALANCE!E540</f>
        <v>1910.0837100000001</v>
      </c>
      <c r="F122" s="22">
        <f>+BALANCE!F540</f>
        <v>2939.5423000000001</v>
      </c>
      <c r="G122" s="22">
        <f>+BALANCE!G540</f>
        <v>8753.7637699999996</v>
      </c>
      <c r="H122" s="22">
        <f>+BALANCE!H540</f>
        <v>4196.7082700000001</v>
      </c>
      <c r="I122" s="22">
        <f>+BALANCE!I540</f>
        <v>15890.014339999998</v>
      </c>
      <c r="J122" s="22">
        <f>+BALANCE!J540</f>
        <v>17800.098049999997</v>
      </c>
      <c r="K122" s="79">
        <f>+BALANCE!K540</f>
        <v>2718.4380099999998</v>
      </c>
    </row>
    <row r="123" spans="1:11" x14ac:dyDescent="0.2">
      <c r="A123" s="93">
        <v>117</v>
      </c>
      <c r="B123" s="20">
        <f>+BALANCE!B545</f>
        <v>1899</v>
      </c>
      <c r="C123" s="21" t="str">
        <f>+BALANCE!C545</f>
        <v>(Depreciación acumulada)</v>
      </c>
      <c r="D123" s="22">
        <f>+BALANCE!D545</f>
        <v>-8089.05537</v>
      </c>
      <c r="E123" s="22">
        <f>+BALANCE!E545</f>
        <v>-8089.05537</v>
      </c>
      <c r="F123" s="22">
        <f>+BALANCE!F545</f>
        <v>-13798.4683</v>
      </c>
      <c r="G123" s="22">
        <f>+BALANCE!G545</f>
        <v>-26945.008229999999</v>
      </c>
      <c r="H123" s="22">
        <f>+BALANCE!H545</f>
        <v>-21366.065050000001</v>
      </c>
      <c r="I123" s="22">
        <f>+BALANCE!I545</f>
        <v>-62109.541580000005</v>
      </c>
      <c r="J123" s="22">
        <f>+BALANCE!J545</f>
        <v>-70198.596950000006</v>
      </c>
      <c r="K123" s="79">
        <f>+BALANCE!K545</f>
        <v>-2269.13924</v>
      </c>
    </row>
    <row r="124" spans="1:11" x14ac:dyDescent="0.2">
      <c r="A124" s="93">
        <v>118</v>
      </c>
      <c r="B124" s="20">
        <f>+BALANCE!B554</f>
        <v>19</v>
      </c>
      <c r="C124" s="21" t="str">
        <f>+BALANCE!C554</f>
        <v>OTROS ACTIVOS</v>
      </c>
      <c r="D124" s="22">
        <f>+BALANCE!D554</f>
        <v>9265.2750500000002</v>
      </c>
      <c r="E124" s="22">
        <f>+BALANCE!E554</f>
        <v>9265.2750500000002</v>
      </c>
      <c r="F124" s="22">
        <f>+BALANCE!F554</f>
        <v>1472.52575</v>
      </c>
      <c r="G124" s="22">
        <f>+BALANCE!G554</f>
        <v>40349.771370000002</v>
      </c>
      <c r="H124" s="22">
        <f>+BALANCE!H554</f>
        <v>510379.31440999999</v>
      </c>
      <c r="I124" s="22">
        <f>+BALANCE!I554</f>
        <v>552201.61152999999</v>
      </c>
      <c r="J124" s="22">
        <f>+BALANCE!J554</f>
        <v>561466.88658000005</v>
      </c>
      <c r="K124" s="79">
        <f>+BALANCE!K554</f>
        <v>2628.0649899999999</v>
      </c>
    </row>
    <row r="125" spans="1:11" x14ac:dyDescent="0.2">
      <c r="A125" s="93">
        <v>119</v>
      </c>
      <c r="B125" s="20">
        <f>+BALANCE!B555</f>
        <v>1901</v>
      </c>
      <c r="C125" s="21" t="str">
        <f>+BALANCE!C555</f>
        <v>Inversiones en acciones y participaciones</v>
      </c>
      <c r="D125" s="22">
        <f>+BALANCE!D555</f>
        <v>6754.8012600000002</v>
      </c>
      <c r="E125" s="22">
        <f>+BALANCE!E555</f>
        <v>6754.8012600000002</v>
      </c>
      <c r="F125" s="22">
        <f>+BALANCE!F555</f>
        <v>0</v>
      </c>
      <c r="G125" s="22">
        <f>+BALANCE!G555</f>
        <v>2249.15607</v>
      </c>
      <c r="H125" s="22">
        <f>+BALANCE!H555</f>
        <v>455060.44397999998</v>
      </c>
      <c r="I125" s="22">
        <f>+BALANCE!I555</f>
        <v>457309.60005000001</v>
      </c>
      <c r="J125" s="22">
        <f>+BALANCE!J555</f>
        <v>464064.40130999999</v>
      </c>
      <c r="K125" s="79">
        <f>+BALANCE!K555</f>
        <v>0</v>
      </c>
    </row>
    <row r="126" spans="1:11" x14ac:dyDescent="0.2">
      <c r="A126" s="93">
        <v>120</v>
      </c>
      <c r="B126" s="20">
        <f>+BALANCE!B561</f>
        <v>1902</v>
      </c>
      <c r="C126" s="21" t="str">
        <f>+BALANCE!C561</f>
        <v>Derechos fiduciarios</v>
      </c>
      <c r="D126" s="22">
        <f>+BALANCE!D561</f>
        <v>8978.1524700000009</v>
      </c>
      <c r="E126" s="22">
        <f>+BALANCE!E561</f>
        <v>8978.1524700000009</v>
      </c>
      <c r="F126" s="22">
        <f>+BALANCE!F561</f>
        <v>0</v>
      </c>
      <c r="G126" s="22">
        <f>+BALANCE!G561</f>
        <v>0</v>
      </c>
      <c r="H126" s="22">
        <f>+BALANCE!H561</f>
        <v>35623.06379</v>
      </c>
      <c r="I126" s="22">
        <f>+BALANCE!I561</f>
        <v>35623.06379</v>
      </c>
      <c r="J126" s="22">
        <f>+BALANCE!J561</f>
        <v>44601.216260000001</v>
      </c>
      <c r="K126" s="79">
        <f>+BALANCE!K561</f>
        <v>0</v>
      </c>
    </row>
    <row r="127" spans="1:11" x14ac:dyDescent="0.2">
      <c r="A127" s="93">
        <v>121</v>
      </c>
      <c r="B127" s="20">
        <f>+BALANCE!B582</f>
        <v>1903</v>
      </c>
      <c r="C127" s="21" t="str">
        <f>+BALANCE!C582</f>
        <v>Otras inversiones en participaciones</v>
      </c>
      <c r="D127" s="22">
        <f>+BALANCE!D582</f>
        <v>0</v>
      </c>
      <c r="E127" s="22">
        <f>+BALANCE!E582</f>
        <v>0</v>
      </c>
      <c r="F127" s="22">
        <f>+BALANCE!F582</f>
        <v>0</v>
      </c>
      <c r="G127" s="22">
        <f>+BALANCE!G582</f>
        <v>0</v>
      </c>
      <c r="H127" s="22">
        <f>+BALANCE!H582</f>
        <v>0</v>
      </c>
      <c r="I127" s="22">
        <f>+BALANCE!I582</f>
        <v>0</v>
      </c>
      <c r="J127" s="22">
        <f>+BALANCE!J582</f>
        <v>0</v>
      </c>
      <c r="K127" s="79">
        <f>+BALANCE!K582</f>
        <v>0</v>
      </c>
    </row>
    <row r="128" spans="1:11" x14ac:dyDescent="0.2">
      <c r="A128" s="93">
        <v>122</v>
      </c>
      <c r="B128" s="20">
        <f>+BALANCE!B585</f>
        <v>1904</v>
      </c>
      <c r="C128" s="21" t="str">
        <f>+BALANCE!C585</f>
        <v>Gastos y pagos anticipados</v>
      </c>
      <c r="D128" s="22">
        <f>+BALANCE!D585</f>
        <v>830.85631000000001</v>
      </c>
      <c r="E128" s="22">
        <f>+BALANCE!E585</f>
        <v>830.85631000000001</v>
      </c>
      <c r="F128" s="22">
        <f>+BALANCE!F585</f>
        <v>446.20352000000003</v>
      </c>
      <c r="G128" s="22">
        <f>+BALANCE!G585</f>
        <v>13290.39057</v>
      </c>
      <c r="H128" s="22">
        <f>+BALANCE!H585</f>
        <v>13570.070110000001</v>
      </c>
      <c r="I128" s="22">
        <f>+BALANCE!I585</f>
        <v>27306.664199999999</v>
      </c>
      <c r="J128" s="22">
        <f>+BALANCE!J585</f>
        <v>28137.520509999998</v>
      </c>
      <c r="K128" s="79">
        <f>+BALANCE!K585</f>
        <v>1397.8624600000001</v>
      </c>
    </row>
    <row r="129" spans="1:11" x14ac:dyDescent="0.2">
      <c r="A129" s="93">
        <v>123</v>
      </c>
      <c r="B129" s="20">
        <f>+BALANCE!B590</f>
        <v>1905</v>
      </c>
      <c r="C129" s="21" t="str">
        <f>+BALANCE!C590</f>
        <v>Gastos diferidos</v>
      </c>
      <c r="D129" s="22">
        <f>+BALANCE!D590</f>
        <v>64.981409999999997</v>
      </c>
      <c r="E129" s="22">
        <f>+BALANCE!E590</f>
        <v>64.981409999999997</v>
      </c>
      <c r="F129" s="22">
        <f>+BALANCE!F590</f>
        <v>295.19981999999999</v>
      </c>
      <c r="G129" s="22">
        <f>+BALANCE!G590</f>
        <v>3968.25225</v>
      </c>
      <c r="H129" s="22">
        <f>+BALANCE!H590</f>
        <v>2494.8560600000001</v>
      </c>
      <c r="I129" s="22">
        <f>+BALANCE!I590</f>
        <v>6758.3081300000003</v>
      </c>
      <c r="J129" s="22">
        <f>+BALANCE!J590</f>
        <v>6823.2895400000007</v>
      </c>
      <c r="K129" s="79">
        <f>+BALANCE!K590</f>
        <v>114.56100000000001</v>
      </c>
    </row>
    <row r="130" spans="1:11" x14ac:dyDescent="0.2">
      <c r="A130" s="93">
        <v>124</v>
      </c>
      <c r="B130" s="20">
        <f>+BALANCE!B599</f>
        <v>1906</v>
      </c>
      <c r="C130" s="21" t="str">
        <f>+BALANCE!C599</f>
        <v>Materiales, mercaderías e insumos</v>
      </c>
      <c r="D130" s="22">
        <f>+BALANCE!D599</f>
        <v>133.46897000000001</v>
      </c>
      <c r="E130" s="22">
        <f>+BALANCE!E599</f>
        <v>133.46897000000001</v>
      </c>
      <c r="F130" s="22">
        <f>+BALANCE!F599</f>
        <v>59.462960000000002</v>
      </c>
      <c r="G130" s="22">
        <f>+BALANCE!G599</f>
        <v>1317.45533</v>
      </c>
      <c r="H130" s="22">
        <f>+BALANCE!H599</f>
        <v>265.16242</v>
      </c>
      <c r="I130" s="22">
        <f>+BALANCE!I599</f>
        <v>1642.0807100000002</v>
      </c>
      <c r="J130" s="22">
        <f>+BALANCE!J599</f>
        <v>1775.5496800000001</v>
      </c>
      <c r="K130" s="79">
        <f>+BALANCE!K599</f>
        <v>99.034350000000003</v>
      </c>
    </row>
    <row r="131" spans="1:11" x14ac:dyDescent="0.2">
      <c r="A131" s="93">
        <v>125</v>
      </c>
      <c r="B131" s="20">
        <f>+BALANCE!B603</f>
        <v>1907</v>
      </c>
      <c r="C131" s="21" t="str">
        <f>+BALANCE!C603</f>
        <v>Fondo de seguro de depósitos  e hipotecas</v>
      </c>
      <c r="D131" s="22">
        <f>+BALANCE!D603</f>
        <v>0.29835</v>
      </c>
      <c r="E131" s="22">
        <f>+BALANCE!E603</f>
        <v>0.29835</v>
      </c>
      <c r="F131" s="22">
        <f>+BALANCE!F603</f>
        <v>0</v>
      </c>
      <c r="G131" s="22">
        <f>+BALANCE!G603</f>
        <v>0</v>
      </c>
      <c r="H131" s="22">
        <f>+BALANCE!H603</f>
        <v>0</v>
      </c>
      <c r="I131" s="22">
        <f>+BALANCE!I603</f>
        <v>0</v>
      </c>
      <c r="J131" s="22">
        <f>+BALANCE!J603</f>
        <v>0.29835</v>
      </c>
      <c r="K131" s="79">
        <f>+BALANCE!K603</f>
        <v>0</v>
      </c>
    </row>
    <row r="132" spans="1:11" x14ac:dyDescent="0.2">
      <c r="A132" s="93">
        <v>126</v>
      </c>
      <c r="B132" s="20">
        <f>+BALANCE!B606</f>
        <v>1990</v>
      </c>
      <c r="C132" s="21" t="str">
        <f>+BALANCE!C606</f>
        <v>Otros</v>
      </c>
      <c r="D132" s="22">
        <f>+BALANCE!D606</f>
        <v>27.009049999999998</v>
      </c>
      <c r="E132" s="22">
        <f>+BALANCE!E606</f>
        <v>27.009049999999998</v>
      </c>
      <c r="F132" s="22">
        <f>+BALANCE!F606</f>
        <v>671.72862999999995</v>
      </c>
      <c r="G132" s="22">
        <f>+BALANCE!G606</f>
        <v>21429.195090000001</v>
      </c>
      <c r="H132" s="22">
        <f>+BALANCE!H606</f>
        <v>8326.5365199999997</v>
      </c>
      <c r="I132" s="22">
        <f>+BALANCE!I606</f>
        <v>30427.46024</v>
      </c>
      <c r="J132" s="22">
        <f>+BALANCE!J606</f>
        <v>30454.469290000001</v>
      </c>
      <c r="K132" s="79">
        <f>+BALANCE!K606</f>
        <v>1041.0518999999999</v>
      </c>
    </row>
    <row r="133" spans="1:11" x14ac:dyDescent="0.2">
      <c r="A133" s="93">
        <v>127</v>
      </c>
      <c r="B133" s="20">
        <f>+BALANCE!B613</f>
        <v>1999</v>
      </c>
      <c r="C133" s="21" t="str">
        <f>+BALANCE!C613</f>
        <v>(Provisión para otros activos irrecuperables)</v>
      </c>
      <c r="D133" s="22">
        <f>+BALANCE!D613</f>
        <v>-7524.29277</v>
      </c>
      <c r="E133" s="22">
        <f>+BALANCE!E613</f>
        <v>-7524.29277</v>
      </c>
      <c r="F133" s="22">
        <f>+BALANCE!F613</f>
        <v>-6.9180000000000005E-2</v>
      </c>
      <c r="G133" s="22">
        <f>+BALANCE!G613</f>
        <v>-1904.67794</v>
      </c>
      <c r="H133" s="22">
        <f>+BALANCE!H613</f>
        <v>-4960.8184700000002</v>
      </c>
      <c r="I133" s="22">
        <f>+BALANCE!I613</f>
        <v>-6865.5655900000002</v>
      </c>
      <c r="J133" s="22">
        <f>+BALANCE!J613</f>
        <v>-14389.85836</v>
      </c>
      <c r="K133" s="79">
        <f>+BALANCE!K613</f>
        <v>-25.44472</v>
      </c>
    </row>
    <row r="134" spans="1:11" ht="15" x14ac:dyDescent="0.25">
      <c r="A134" s="93">
        <v>128</v>
      </c>
      <c r="B134" s="20"/>
      <c r="C134" s="24" t="str">
        <f>+BALANCE!C617</f>
        <v>TOTAL ACTIVO</v>
      </c>
      <c r="D134" s="81">
        <f>+BALANCE!D617</f>
        <v>260130.65908000001</v>
      </c>
      <c r="E134" s="81">
        <f>+BALANCE!E617</f>
        <v>260130.65908000001</v>
      </c>
      <c r="F134" s="81">
        <f>+BALANCE!F617</f>
        <v>1377321.1102499999</v>
      </c>
      <c r="G134" s="81">
        <f>+BALANCE!G617</f>
        <v>1514532.4000800001</v>
      </c>
      <c r="H134" s="81">
        <f>+BALANCE!H617</f>
        <v>2227612.5454500001</v>
      </c>
      <c r="I134" s="81">
        <f>+BALANCE!I617</f>
        <v>5119466.0557800001</v>
      </c>
      <c r="J134" s="81">
        <f>+BALANCE!J617</f>
        <v>5379596.7148599997</v>
      </c>
      <c r="K134" s="82">
        <f>+BALANCE!K617</f>
        <v>408331.20366</v>
      </c>
    </row>
    <row r="135" spans="1:11" ht="15" x14ac:dyDescent="0.25">
      <c r="A135" s="93">
        <v>129</v>
      </c>
      <c r="B135" s="20"/>
      <c r="C135" s="24"/>
      <c r="D135" s="81"/>
      <c r="E135" s="81"/>
      <c r="F135" s="81"/>
      <c r="G135" s="81"/>
      <c r="H135" s="81"/>
      <c r="I135" s="81"/>
      <c r="J135" s="81"/>
      <c r="K135" s="82"/>
    </row>
    <row r="136" spans="1:11" ht="15" x14ac:dyDescent="0.25">
      <c r="A136" s="93">
        <v>130</v>
      </c>
      <c r="B136" s="20"/>
      <c r="C136" s="24" t="str">
        <f>+BALANCE!C619</f>
        <v>GASTOS</v>
      </c>
      <c r="D136" s="81">
        <f>+BALANCE!D619</f>
        <v>22780.313569999998</v>
      </c>
      <c r="E136" s="81">
        <f>+BALANCE!E619</f>
        <v>22780.313569999998</v>
      </c>
      <c r="F136" s="81">
        <f>+BALANCE!F619</f>
        <v>22422.583849999999</v>
      </c>
      <c r="G136" s="81">
        <f>+BALANCE!G619</f>
        <v>105065.58886</v>
      </c>
      <c r="H136" s="81">
        <f>+BALANCE!H619</f>
        <v>101112.71661</v>
      </c>
      <c r="I136" s="81">
        <f>+BALANCE!I619</f>
        <v>228600.88932000002</v>
      </c>
      <c r="J136" s="81">
        <f>+BALANCE!J619</f>
        <v>251381.20289000002</v>
      </c>
      <c r="K136" s="82">
        <f>+BALANCE!K619</f>
        <v>8765.0713199999991</v>
      </c>
    </row>
    <row r="137" spans="1:11" ht="15" x14ac:dyDescent="0.25">
      <c r="A137" s="93">
        <v>131</v>
      </c>
      <c r="B137" s="20"/>
      <c r="C137" s="24"/>
      <c r="D137" s="81"/>
      <c r="E137" s="81"/>
      <c r="F137" s="81"/>
      <c r="G137" s="81"/>
      <c r="H137" s="81"/>
      <c r="I137" s="81"/>
      <c r="J137" s="81"/>
      <c r="K137" s="82"/>
    </row>
    <row r="138" spans="1:11" ht="15" x14ac:dyDescent="0.25">
      <c r="A138" s="93">
        <v>132</v>
      </c>
      <c r="B138" s="20"/>
      <c r="C138" s="24" t="str">
        <f>+BALANCE!C621</f>
        <v>TOTAL ACTIVO Y GASTOS</v>
      </c>
      <c r="D138" s="81">
        <f>+BALANCE!D621</f>
        <v>282910.97265000001</v>
      </c>
      <c r="E138" s="81">
        <f>+BALANCE!E621</f>
        <v>282910.97265000001</v>
      </c>
      <c r="F138" s="81">
        <f>+BALANCE!F621</f>
        <v>1399743.6941</v>
      </c>
      <c r="G138" s="81">
        <f>+BALANCE!G621</f>
        <v>1619597.9889400001</v>
      </c>
      <c r="H138" s="81">
        <f>+BALANCE!H621</f>
        <v>2328725.2620600001</v>
      </c>
      <c r="I138" s="81">
        <f>+BALANCE!I621</f>
        <v>5348066.9451000001</v>
      </c>
      <c r="J138" s="81">
        <f>+BALANCE!J621</f>
        <v>5630977.91775</v>
      </c>
      <c r="K138" s="82">
        <f>+BALANCE!K621</f>
        <v>417096.27497999999</v>
      </c>
    </row>
    <row r="139" spans="1:11" ht="15" x14ac:dyDescent="0.25">
      <c r="A139" s="93">
        <v>133</v>
      </c>
      <c r="B139" s="20"/>
      <c r="C139" s="24"/>
      <c r="D139" s="81"/>
      <c r="E139" s="81"/>
      <c r="F139" s="81"/>
      <c r="G139" s="81"/>
      <c r="H139" s="81"/>
      <c r="I139" s="81"/>
      <c r="J139" s="81"/>
      <c r="K139" s="82"/>
    </row>
    <row r="140" spans="1:11" ht="15" x14ac:dyDescent="0.25">
      <c r="A140" s="93">
        <v>134</v>
      </c>
      <c r="B140" s="20"/>
      <c r="C140" s="24" t="str">
        <f>+BALANCE!C623</f>
        <v>PASIVO</v>
      </c>
      <c r="D140" s="81">
        <f>+BALANCE!D623</f>
        <v>0</v>
      </c>
      <c r="E140" s="81">
        <f>+BALANCE!E623</f>
        <v>0</v>
      </c>
      <c r="F140" s="81">
        <f>+BALANCE!F623</f>
        <v>0</v>
      </c>
      <c r="G140" s="81">
        <f>+BALANCE!G623</f>
        <v>0</v>
      </c>
      <c r="H140" s="81">
        <f>+BALANCE!H623</f>
        <v>0</v>
      </c>
      <c r="I140" s="81">
        <f>+BALANCE!I623</f>
        <v>0</v>
      </c>
      <c r="J140" s="81">
        <f>+BALANCE!J623</f>
        <v>0</v>
      </c>
      <c r="K140" s="82">
        <f>+BALANCE!K623</f>
        <v>0</v>
      </c>
    </row>
    <row r="141" spans="1:11" x14ac:dyDescent="0.2">
      <c r="A141" s="93">
        <v>135</v>
      </c>
      <c r="B141" s="20">
        <f>+BALANCE!B624</f>
        <v>21</v>
      </c>
      <c r="C141" s="21" t="str">
        <f>+BALANCE!C624</f>
        <v>OBLIGACIONES CON EL PUBLICO</v>
      </c>
      <c r="D141" s="22">
        <f>+BALANCE!D624</f>
        <v>160006.48314999999</v>
      </c>
      <c r="E141" s="22">
        <f>+BALANCE!E624</f>
        <v>160006.48314999999</v>
      </c>
      <c r="F141" s="22">
        <f>+BALANCE!F624</f>
        <v>427092.83601000003</v>
      </c>
      <c r="G141" s="22">
        <f>+BALANCE!G624</f>
        <v>1006696.77302</v>
      </c>
      <c r="H141" s="22">
        <f>+BALANCE!H624</f>
        <v>1181384.28309</v>
      </c>
      <c r="I141" s="22">
        <f>+BALANCE!I624</f>
        <v>2615173.89212</v>
      </c>
      <c r="J141" s="22">
        <f>+BALANCE!J624</f>
        <v>2775180.3752699997</v>
      </c>
      <c r="K141" s="79">
        <f>+BALANCE!K624</f>
        <v>0</v>
      </c>
    </row>
    <row r="142" spans="1:11" x14ac:dyDescent="0.2">
      <c r="A142" s="93">
        <v>136</v>
      </c>
      <c r="B142" s="20">
        <f>+BALANCE!B625</f>
        <v>2101</v>
      </c>
      <c r="C142" s="21" t="str">
        <f>+BALANCE!C625</f>
        <v>Depósitos a la vista</v>
      </c>
      <c r="D142" s="22">
        <f>+BALANCE!D625</f>
        <v>20782.49872</v>
      </c>
      <c r="E142" s="22">
        <f>+BALANCE!E625</f>
        <v>20782.49872</v>
      </c>
      <c r="F142" s="22">
        <f>+BALANCE!F625</f>
        <v>0</v>
      </c>
      <c r="G142" s="22">
        <f>+BALANCE!G625</f>
        <v>692955.14200999995</v>
      </c>
      <c r="H142" s="22">
        <f>+BALANCE!H625</f>
        <v>0</v>
      </c>
      <c r="I142" s="22">
        <f>+BALANCE!I625</f>
        <v>692955.14200999995</v>
      </c>
      <c r="J142" s="22">
        <f>+BALANCE!J625</f>
        <v>713737.64072999998</v>
      </c>
      <c r="K142" s="79">
        <f>+BALANCE!K625</f>
        <v>0</v>
      </c>
    </row>
    <row r="143" spans="1:11" x14ac:dyDescent="0.2">
      <c r="A143" s="93">
        <v>137</v>
      </c>
      <c r="B143" s="20">
        <f>+BALANCE!B626</f>
        <v>210105</v>
      </c>
      <c r="C143" s="21" t="str">
        <f>+BALANCE!C626</f>
        <v>Depósitos monetarios que generan intereses</v>
      </c>
      <c r="D143" s="22">
        <f>+BALANCE!D626</f>
        <v>0</v>
      </c>
      <c r="E143" s="22">
        <f>+BALANCE!E626</f>
        <v>0</v>
      </c>
      <c r="F143" s="22">
        <f>+BALANCE!F626</f>
        <v>0</v>
      </c>
      <c r="G143" s="22">
        <f>+BALANCE!G626</f>
        <v>158137.02578</v>
      </c>
      <c r="H143" s="22">
        <f>+BALANCE!H626</f>
        <v>0</v>
      </c>
      <c r="I143" s="22">
        <f>+BALANCE!I626</f>
        <v>158137.02578</v>
      </c>
      <c r="J143" s="22">
        <f>+BALANCE!J626</f>
        <v>158137.02578</v>
      </c>
      <c r="K143" s="79">
        <f>+BALANCE!K626</f>
        <v>0</v>
      </c>
    </row>
    <row r="144" spans="1:11" x14ac:dyDescent="0.2">
      <c r="A144" s="93">
        <v>138</v>
      </c>
      <c r="B144" s="20">
        <f>+BALANCE!B627</f>
        <v>210110</v>
      </c>
      <c r="C144" s="21" t="str">
        <f>+BALANCE!C627</f>
        <v>Depósitos monetarios que no generan intereses</v>
      </c>
      <c r="D144" s="22">
        <f>+BALANCE!D627</f>
        <v>0</v>
      </c>
      <c r="E144" s="22">
        <f>+BALANCE!E627</f>
        <v>0</v>
      </c>
      <c r="F144" s="22">
        <f>+BALANCE!F627</f>
        <v>0</v>
      </c>
      <c r="G144" s="22">
        <f>+BALANCE!G627</f>
        <v>50962.883370000003</v>
      </c>
      <c r="H144" s="22">
        <f>+BALANCE!H627</f>
        <v>0</v>
      </c>
      <c r="I144" s="22">
        <f>+BALANCE!I627</f>
        <v>50962.883370000003</v>
      </c>
      <c r="J144" s="22">
        <f>+BALANCE!J627</f>
        <v>50962.883370000003</v>
      </c>
      <c r="K144" s="79">
        <f>+BALANCE!K627</f>
        <v>0</v>
      </c>
    </row>
    <row r="145" spans="1:11" x14ac:dyDescent="0.2">
      <c r="A145" s="93">
        <v>139</v>
      </c>
      <c r="B145" s="20">
        <f>+BALANCE!B628</f>
        <v>210115</v>
      </c>
      <c r="C145" s="21" t="str">
        <f>+BALANCE!C628</f>
        <v>Depósitos monetarios de instituciones financieras</v>
      </c>
      <c r="D145" s="22">
        <f>+BALANCE!D628</f>
        <v>0</v>
      </c>
      <c r="E145" s="22">
        <f>+BALANCE!E628</f>
        <v>0</v>
      </c>
      <c r="F145" s="22">
        <f>+BALANCE!F628</f>
        <v>0</v>
      </c>
      <c r="G145" s="22">
        <f>+BALANCE!G628</f>
        <v>4033.9656799999998</v>
      </c>
      <c r="H145" s="22">
        <f>+BALANCE!H628</f>
        <v>0</v>
      </c>
      <c r="I145" s="22">
        <f>+BALANCE!I628</f>
        <v>4033.9656799999998</v>
      </c>
      <c r="J145" s="22">
        <f>+BALANCE!J628</f>
        <v>4033.9656799999998</v>
      </c>
      <c r="K145" s="79">
        <f>+BALANCE!K628</f>
        <v>0</v>
      </c>
    </row>
    <row r="146" spans="1:11" x14ac:dyDescent="0.2">
      <c r="A146" s="93">
        <v>140</v>
      </c>
      <c r="B146" s="20">
        <f>+BALANCE!B629</f>
        <v>210120</v>
      </c>
      <c r="C146" s="21" t="str">
        <f>+BALANCE!C629</f>
        <v>Ejecución  presupuestaria</v>
      </c>
      <c r="D146" s="22">
        <f>+BALANCE!D629</f>
        <v>0</v>
      </c>
      <c r="E146" s="22">
        <f>+BALANCE!E629</f>
        <v>0</v>
      </c>
      <c r="F146" s="22">
        <f>+BALANCE!F629</f>
        <v>0</v>
      </c>
      <c r="G146" s="22">
        <f>+BALANCE!G629</f>
        <v>0</v>
      </c>
      <c r="H146" s="22">
        <f>+BALANCE!H629</f>
        <v>0</v>
      </c>
      <c r="I146" s="22">
        <f>+BALANCE!I629</f>
        <v>0</v>
      </c>
      <c r="J146" s="22">
        <f>+BALANCE!J629</f>
        <v>0</v>
      </c>
      <c r="K146" s="79">
        <f>+BALANCE!K629</f>
        <v>0</v>
      </c>
    </row>
    <row r="147" spans="1:11" x14ac:dyDescent="0.2">
      <c r="A147" s="93">
        <v>141</v>
      </c>
      <c r="B147" s="20">
        <f>+BALANCE!B630</f>
        <v>210125</v>
      </c>
      <c r="C147" s="21" t="str">
        <f>+BALANCE!C630</f>
        <v>Depósitos de otras instituciones para encaje</v>
      </c>
      <c r="D147" s="22">
        <f>+BALANCE!D630</f>
        <v>0</v>
      </c>
      <c r="E147" s="22">
        <f>+BALANCE!E630</f>
        <v>0</v>
      </c>
      <c r="F147" s="22">
        <f>+BALANCE!F630</f>
        <v>0</v>
      </c>
      <c r="G147" s="22">
        <f>+BALANCE!G630</f>
        <v>2312.6905700000002</v>
      </c>
      <c r="H147" s="22">
        <f>+BALANCE!H630</f>
        <v>0</v>
      </c>
      <c r="I147" s="22">
        <f>+BALANCE!I630</f>
        <v>2312.6905700000002</v>
      </c>
      <c r="J147" s="22">
        <f>+BALANCE!J630</f>
        <v>2312.6905700000002</v>
      </c>
      <c r="K147" s="79">
        <f>+BALANCE!K630</f>
        <v>0</v>
      </c>
    </row>
    <row r="148" spans="1:11" x14ac:dyDescent="0.2">
      <c r="A148" s="93">
        <v>142</v>
      </c>
      <c r="B148" s="20">
        <f>+BALANCE!B631</f>
        <v>210130</v>
      </c>
      <c r="C148" s="21" t="str">
        <f>+BALANCE!C631</f>
        <v>Cheques certificados</v>
      </c>
      <c r="D148" s="22">
        <f>+BALANCE!D631</f>
        <v>0</v>
      </c>
      <c r="E148" s="22">
        <f>+BALANCE!E631</f>
        <v>0</v>
      </c>
      <c r="F148" s="22">
        <f>+BALANCE!F631</f>
        <v>0</v>
      </c>
      <c r="G148" s="22">
        <f>+BALANCE!G631</f>
        <v>414.96645999999998</v>
      </c>
      <c r="H148" s="22">
        <f>+BALANCE!H631</f>
        <v>0</v>
      </c>
      <c r="I148" s="22">
        <f>+BALANCE!I631</f>
        <v>414.96645999999998</v>
      </c>
      <c r="J148" s="22">
        <f>+BALANCE!J631</f>
        <v>414.96645999999998</v>
      </c>
      <c r="K148" s="79">
        <f>+BALANCE!K631</f>
        <v>0</v>
      </c>
    </row>
    <row r="149" spans="1:11" x14ac:dyDescent="0.2">
      <c r="A149" s="93">
        <v>143</v>
      </c>
      <c r="B149" s="20">
        <f>+BALANCE!B632</f>
        <v>210135</v>
      </c>
      <c r="C149" s="21" t="str">
        <f>+BALANCE!C632</f>
        <v>Depósitos de ahorro</v>
      </c>
      <c r="D149" s="22">
        <f>+BALANCE!D632</f>
        <v>20778.626179999999</v>
      </c>
      <c r="E149" s="22">
        <f>+BALANCE!E632</f>
        <v>20778.626179999999</v>
      </c>
      <c r="F149" s="22">
        <f>+BALANCE!F632</f>
        <v>0</v>
      </c>
      <c r="G149" s="22">
        <f>+BALANCE!G632</f>
        <v>340328.83038</v>
      </c>
      <c r="H149" s="22">
        <f>+BALANCE!H632</f>
        <v>0</v>
      </c>
      <c r="I149" s="22">
        <f>+BALANCE!I632</f>
        <v>340328.83038</v>
      </c>
      <c r="J149" s="22">
        <f>+BALANCE!J632</f>
        <v>361107.45656000002</v>
      </c>
      <c r="K149" s="79">
        <f>+BALANCE!K632</f>
        <v>0</v>
      </c>
    </row>
    <row r="150" spans="1:11" x14ac:dyDescent="0.2">
      <c r="A150" s="93">
        <v>144</v>
      </c>
      <c r="B150" s="20">
        <f>+BALANCE!B633</f>
        <v>210140</v>
      </c>
      <c r="C150" s="21" t="str">
        <f>+BALANCE!C633</f>
        <v>Otros depósitos</v>
      </c>
      <c r="D150" s="22">
        <f>+BALANCE!D633</f>
        <v>0</v>
      </c>
      <c r="E150" s="22">
        <f>+BALANCE!E633</f>
        <v>0</v>
      </c>
      <c r="F150" s="22">
        <f>+BALANCE!F633</f>
        <v>0</v>
      </c>
      <c r="G150" s="22">
        <f>+BALANCE!G633</f>
        <v>132861.15541000001</v>
      </c>
      <c r="H150" s="22">
        <f>+BALANCE!H633</f>
        <v>0</v>
      </c>
      <c r="I150" s="22">
        <f>+BALANCE!I633</f>
        <v>132861.15541000001</v>
      </c>
      <c r="J150" s="22">
        <f>+BALANCE!J633</f>
        <v>132861.15541000001</v>
      </c>
      <c r="K150" s="79">
        <f>+BALANCE!K633</f>
        <v>0</v>
      </c>
    </row>
    <row r="151" spans="1:11" x14ac:dyDescent="0.2">
      <c r="A151" s="93">
        <v>145</v>
      </c>
      <c r="B151" s="20">
        <f>+BALANCE!B634</f>
        <v>210145</v>
      </c>
      <c r="C151" s="21" t="str">
        <f>+BALANCE!C634</f>
        <v>Fondos de tarjetahabientes</v>
      </c>
      <c r="D151" s="22">
        <f>+BALANCE!D634</f>
        <v>0</v>
      </c>
      <c r="E151" s="22">
        <f>+BALANCE!E634</f>
        <v>0</v>
      </c>
      <c r="F151" s="22">
        <f>+BALANCE!F634</f>
        <v>0</v>
      </c>
      <c r="G151" s="22">
        <f>+BALANCE!G634</f>
        <v>0</v>
      </c>
      <c r="H151" s="22">
        <f>+BALANCE!H634</f>
        <v>0</v>
      </c>
      <c r="I151" s="22">
        <f>+BALANCE!I634</f>
        <v>0</v>
      </c>
      <c r="J151" s="22">
        <f>+BALANCE!J634</f>
        <v>0</v>
      </c>
      <c r="K151" s="79">
        <f>+BALANCE!K634</f>
        <v>0</v>
      </c>
    </row>
    <row r="152" spans="1:11" x14ac:dyDescent="0.2">
      <c r="A152" s="93">
        <v>146</v>
      </c>
      <c r="B152" s="20">
        <f>+BALANCE!B635</f>
        <v>210150</v>
      </c>
      <c r="C152" s="21" t="str">
        <f>+BALANCE!C635</f>
        <v>Depósitos por confirmar</v>
      </c>
      <c r="D152" s="22">
        <f>+BALANCE!D635</f>
        <v>3.8725399999999999</v>
      </c>
      <c r="E152" s="22">
        <f>+BALANCE!E635</f>
        <v>3.8725399999999999</v>
      </c>
      <c r="F152" s="22">
        <f>+BALANCE!F635</f>
        <v>0</v>
      </c>
      <c r="G152" s="22">
        <f>+BALANCE!G635</f>
        <v>3903.6243599999998</v>
      </c>
      <c r="H152" s="22">
        <f>+BALANCE!H635</f>
        <v>0</v>
      </c>
      <c r="I152" s="22">
        <f>+BALANCE!I635</f>
        <v>3903.6243599999998</v>
      </c>
      <c r="J152" s="22">
        <f>+BALANCE!J635</f>
        <v>3907.4968999999996</v>
      </c>
      <c r="K152" s="79">
        <f>+BALANCE!K635</f>
        <v>0</v>
      </c>
    </row>
    <row r="153" spans="1:11" x14ac:dyDescent="0.2">
      <c r="A153" s="93">
        <v>147</v>
      </c>
      <c r="B153" s="20">
        <f>+BALANCE!B636</f>
        <v>210155</v>
      </c>
      <c r="C153" s="21" t="str">
        <f>+BALANCE!C636</f>
        <v>Depósitos de cuenta básica</v>
      </c>
      <c r="D153" s="22">
        <f>+BALANCE!D636</f>
        <v>0</v>
      </c>
      <c r="E153" s="22">
        <f>+BALANCE!E636</f>
        <v>0</v>
      </c>
      <c r="F153" s="22">
        <f>+BALANCE!F636</f>
        <v>0</v>
      </c>
      <c r="G153" s="22">
        <f>+BALANCE!G636</f>
        <v>0</v>
      </c>
      <c r="H153" s="22">
        <f>+BALANCE!H636</f>
        <v>0</v>
      </c>
      <c r="I153" s="22">
        <f>+BALANCE!I636</f>
        <v>0</v>
      </c>
      <c r="J153" s="22">
        <f>+BALANCE!J636</f>
        <v>0</v>
      </c>
      <c r="K153" s="79">
        <f>+BALANCE!K636</f>
        <v>0</v>
      </c>
    </row>
    <row r="154" spans="1:11" x14ac:dyDescent="0.2">
      <c r="A154" s="93">
        <v>148</v>
      </c>
      <c r="B154" s="20">
        <f>+BALANCE!B637</f>
        <v>2102</v>
      </c>
      <c r="C154" s="21" t="str">
        <f>+BALANCE!C637</f>
        <v>Operaciones de reporto</v>
      </c>
      <c r="D154" s="22">
        <f>+BALANCE!D637</f>
        <v>0</v>
      </c>
      <c r="E154" s="22">
        <f>+BALANCE!E637</f>
        <v>0</v>
      </c>
      <c r="F154" s="22">
        <f>+BALANCE!F637</f>
        <v>0</v>
      </c>
      <c r="G154" s="22">
        <f>+BALANCE!G637</f>
        <v>0</v>
      </c>
      <c r="H154" s="22">
        <f>+BALANCE!H637</f>
        <v>0</v>
      </c>
      <c r="I154" s="22">
        <f>+BALANCE!I637</f>
        <v>0</v>
      </c>
      <c r="J154" s="22">
        <f>+BALANCE!J637</f>
        <v>0</v>
      </c>
      <c r="K154" s="79">
        <f>+BALANCE!K637</f>
        <v>0</v>
      </c>
    </row>
    <row r="155" spans="1:11" x14ac:dyDescent="0.2">
      <c r="A155" s="93">
        <v>149</v>
      </c>
      <c r="B155" s="20">
        <f>+BALANCE!B640</f>
        <v>210215</v>
      </c>
      <c r="C155" s="21" t="str">
        <f>+BALANCE!C640</f>
        <v>Operaciones de reporto bursátil</v>
      </c>
      <c r="D155" s="22">
        <f>+BALANCE!D640</f>
        <v>0</v>
      </c>
      <c r="E155" s="22">
        <f>+BALANCE!E640</f>
        <v>0</v>
      </c>
      <c r="F155" s="22">
        <f>+BALANCE!F640</f>
        <v>0</v>
      </c>
      <c r="G155" s="22">
        <f>+BALANCE!G640</f>
        <v>0</v>
      </c>
      <c r="H155" s="22">
        <f>+BALANCE!H640</f>
        <v>0</v>
      </c>
      <c r="I155" s="22">
        <f>+BALANCE!I640</f>
        <v>0</v>
      </c>
      <c r="J155" s="22">
        <f>+BALANCE!J640</f>
        <v>0</v>
      </c>
      <c r="K155" s="79">
        <f>+BALANCE!K640</f>
        <v>0</v>
      </c>
    </row>
    <row r="156" spans="1:11" x14ac:dyDescent="0.2">
      <c r="A156" s="93">
        <v>150</v>
      </c>
      <c r="B156" s="20">
        <f>+BALANCE!B641</f>
        <v>2103</v>
      </c>
      <c r="C156" s="21" t="str">
        <f>+BALANCE!C641</f>
        <v>Depósitos a plazo</v>
      </c>
      <c r="D156" s="22">
        <f>+BALANCE!D641</f>
        <v>112499.99999</v>
      </c>
      <c r="E156" s="22">
        <f>+BALANCE!E641</f>
        <v>112499.99999</v>
      </c>
      <c r="F156" s="22">
        <f>+BALANCE!F641</f>
        <v>427092.83601000003</v>
      </c>
      <c r="G156" s="22">
        <f>+BALANCE!G641</f>
        <v>312474.36018999998</v>
      </c>
      <c r="H156" s="22">
        <f>+BALANCE!H641</f>
        <v>1181384.28309</v>
      </c>
      <c r="I156" s="22">
        <f>+BALANCE!I641</f>
        <v>1920951.4792900002</v>
      </c>
      <c r="J156" s="22">
        <f>+BALANCE!J641</f>
        <v>2033451.4792800001</v>
      </c>
      <c r="K156" s="79">
        <f>+BALANCE!K641</f>
        <v>0</v>
      </c>
    </row>
    <row r="157" spans="1:11" x14ac:dyDescent="0.2">
      <c r="A157" s="93">
        <v>151</v>
      </c>
      <c r="B157" s="20">
        <f>+BALANCE!B648</f>
        <v>2104</v>
      </c>
      <c r="C157" s="21" t="str">
        <f>+BALANCE!C648</f>
        <v>Depósitos de garantía</v>
      </c>
      <c r="D157" s="22">
        <f>+BALANCE!D648</f>
        <v>26723.98444</v>
      </c>
      <c r="E157" s="22">
        <f>+BALANCE!E648</f>
        <v>26723.98444</v>
      </c>
      <c r="F157" s="22">
        <f>+BALANCE!F648</f>
        <v>0</v>
      </c>
      <c r="G157" s="22">
        <f>+BALANCE!G648</f>
        <v>1267.27082</v>
      </c>
      <c r="H157" s="22">
        <f>+BALANCE!H648</f>
        <v>0</v>
      </c>
      <c r="I157" s="22">
        <f>+BALANCE!I648</f>
        <v>1267.27082</v>
      </c>
      <c r="J157" s="22">
        <f>+BALANCE!J648</f>
        <v>27991.255260000002</v>
      </c>
      <c r="K157" s="79">
        <f>+BALANCE!K648</f>
        <v>0</v>
      </c>
    </row>
    <row r="158" spans="1:11" x14ac:dyDescent="0.2">
      <c r="A158" s="93">
        <v>152</v>
      </c>
      <c r="B158" s="20">
        <f>+BALANCE!B649</f>
        <v>2105</v>
      </c>
      <c r="C158" s="21" t="str">
        <f>+BALANCE!C649</f>
        <v>Depósitos restringidos</v>
      </c>
      <c r="D158" s="22">
        <f>+BALANCE!D649</f>
        <v>0</v>
      </c>
      <c r="E158" s="22">
        <f>+BALANCE!E649</f>
        <v>0</v>
      </c>
      <c r="F158" s="22">
        <f>+BALANCE!F649</f>
        <v>0</v>
      </c>
      <c r="G158" s="22">
        <f>+BALANCE!G649</f>
        <v>0</v>
      </c>
      <c r="H158" s="22">
        <f>+BALANCE!H649</f>
        <v>0</v>
      </c>
      <c r="I158" s="22">
        <f>+BALANCE!I649</f>
        <v>0</v>
      </c>
      <c r="J158" s="22">
        <f>+BALANCE!J649</f>
        <v>0</v>
      </c>
      <c r="K158" s="79">
        <f>+BALANCE!K649</f>
        <v>0</v>
      </c>
    </row>
    <row r="159" spans="1:11" x14ac:dyDescent="0.2">
      <c r="A159" s="93">
        <v>153</v>
      </c>
      <c r="B159" s="20">
        <f>+BALANCE!B650</f>
        <v>22</v>
      </c>
      <c r="C159" s="21" t="str">
        <f>+BALANCE!C650</f>
        <v>OPERACIONES INTERBANCARIAS</v>
      </c>
      <c r="D159" s="22">
        <f>+BALANCE!D650</f>
        <v>0</v>
      </c>
      <c r="E159" s="22">
        <f>+BALANCE!E650</f>
        <v>0</v>
      </c>
      <c r="F159" s="22">
        <f>+BALANCE!F650</f>
        <v>0</v>
      </c>
      <c r="G159" s="22">
        <f>+BALANCE!G650</f>
        <v>0</v>
      </c>
      <c r="H159" s="22">
        <f>+BALANCE!H650</f>
        <v>655</v>
      </c>
      <c r="I159" s="22">
        <f>+BALANCE!I650</f>
        <v>655</v>
      </c>
      <c r="J159" s="22">
        <f>+BALANCE!J650</f>
        <v>655</v>
      </c>
      <c r="K159" s="79">
        <f>+BALANCE!K650</f>
        <v>0</v>
      </c>
    </row>
    <row r="160" spans="1:11" x14ac:dyDescent="0.2">
      <c r="A160" s="93">
        <v>154</v>
      </c>
      <c r="B160" s="20">
        <f>+BALANCE!B651</f>
        <v>2201</v>
      </c>
      <c r="C160" s="21" t="str">
        <f>+BALANCE!C651</f>
        <v>Fondos interbancarios comprados</v>
      </c>
      <c r="D160" s="22">
        <f>+BALANCE!D651</f>
        <v>0</v>
      </c>
      <c r="E160" s="22">
        <f>+BALANCE!E651</f>
        <v>0</v>
      </c>
      <c r="F160" s="22">
        <f>+BALANCE!F651</f>
        <v>0</v>
      </c>
      <c r="G160" s="22">
        <f>+BALANCE!G651</f>
        <v>0</v>
      </c>
      <c r="H160" s="22">
        <f>+BALANCE!H651</f>
        <v>0</v>
      </c>
      <c r="I160" s="22">
        <f>+BALANCE!I651</f>
        <v>0</v>
      </c>
      <c r="J160" s="22">
        <f>+BALANCE!J651</f>
        <v>0</v>
      </c>
      <c r="K160" s="79">
        <f>+BALANCE!K651</f>
        <v>0</v>
      </c>
    </row>
    <row r="161" spans="1:11" x14ac:dyDescent="0.2">
      <c r="A161" s="93">
        <v>155</v>
      </c>
      <c r="B161" s="20">
        <f>+BALANCE!B654</f>
        <v>2202</v>
      </c>
      <c r="C161" s="21" t="str">
        <f>+BALANCE!C654</f>
        <v>Operaciones de reporto con instituciones financieras</v>
      </c>
      <c r="D161" s="22">
        <f>+BALANCE!D654</f>
        <v>0</v>
      </c>
      <c r="E161" s="22">
        <f>+BALANCE!E654</f>
        <v>0</v>
      </c>
      <c r="F161" s="22">
        <f>+BALANCE!F654</f>
        <v>0</v>
      </c>
      <c r="G161" s="22">
        <f>+BALANCE!G654</f>
        <v>0</v>
      </c>
      <c r="H161" s="22">
        <f>+BALANCE!H654</f>
        <v>655</v>
      </c>
      <c r="I161" s="22">
        <f>+BALANCE!I654</f>
        <v>655</v>
      </c>
      <c r="J161" s="22">
        <f>+BALANCE!J654</f>
        <v>655</v>
      </c>
      <c r="K161" s="79">
        <f>+BALANCE!K654</f>
        <v>0</v>
      </c>
    </row>
    <row r="162" spans="1:11" x14ac:dyDescent="0.2">
      <c r="A162" s="93">
        <v>156</v>
      </c>
      <c r="B162" s="20">
        <f>+BALANCE!B658</f>
        <v>2203</v>
      </c>
      <c r="C162" s="21" t="str">
        <f>+BALANCE!C658</f>
        <v>Operaciones por confirmar</v>
      </c>
      <c r="D162" s="22">
        <f>+BALANCE!D658</f>
        <v>0</v>
      </c>
      <c r="E162" s="22">
        <f>+BALANCE!E658</f>
        <v>0</v>
      </c>
      <c r="F162" s="22">
        <f>+BALANCE!F658</f>
        <v>0</v>
      </c>
      <c r="G162" s="22">
        <f>+BALANCE!G658</f>
        <v>0</v>
      </c>
      <c r="H162" s="22">
        <f>+BALANCE!H658</f>
        <v>0</v>
      </c>
      <c r="I162" s="22">
        <f>+BALANCE!I658</f>
        <v>0</v>
      </c>
      <c r="J162" s="22">
        <f>+BALANCE!J658</f>
        <v>0</v>
      </c>
      <c r="K162" s="79">
        <f>+BALANCE!K658</f>
        <v>0</v>
      </c>
    </row>
    <row r="163" spans="1:11" x14ac:dyDescent="0.2">
      <c r="A163" s="93">
        <v>157</v>
      </c>
      <c r="B163" s="20">
        <f>+BALANCE!B659</f>
        <v>23</v>
      </c>
      <c r="C163" s="21" t="str">
        <f>+BALANCE!C659</f>
        <v>OBLIGACIONES INMEDIATAS</v>
      </c>
      <c r="D163" s="22">
        <f>+BALANCE!D659</f>
        <v>0</v>
      </c>
      <c r="E163" s="22">
        <f>+BALANCE!E659</f>
        <v>0</v>
      </c>
      <c r="F163" s="22">
        <f>+BALANCE!F659</f>
        <v>0</v>
      </c>
      <c r="G163" s="22">
        <f>+BALANCE!G659</f>
        <v>19626.370200000001</v>
      </c>
      <c r="H163" s="22">
        <f>+BALANCE!H659</f>
        <v>0</v>
      </c>
      <c r="I163" s="22">
        <f>+BALANCE!I659</f>
        <v>19626.370200000001</v>
      </c>
      <c r="J163" s="22">
        <f>+BALANCE!J659</f>
        <v>19626.370200000001</v>
      </c>
      <c r="K163" s="79">
        <f>+BALANCE!K659</f>
        <v>0</v>
      </c>
    </row>
    <row r="164" spans="1:11" x14ac:dyDescent="0.2">
      <c r="A164" s="93">
        <v>158</v>
      </c>
      <c r="B164" s="20">
        <f>+BALANCE!B660</f>
        <v>2301</v>
      </c>
      <c r="C164" s="21" t="str">
        <f>+BALANCE!C660</f>
        <v>Cheques de gerencia</v>
      </c>
      <c r="D164" s="22">
        <f>+BALANCE!D660</f>
        <v>0</v>
      </c>
      <c r="E164" s="22">
        <f>+BALANCE!E660</f>
        <v>0</v>
      </c>
      <c r="F164" s="22">
        <f>+BALANCE!F660</f>
        <v>0</v>
      </c>
      <c r="G164" s="22">
        <f>+BALANCE!G660</f>
        <v>3567.56529</v>
      </c>
      <c r="H164" s="22">
        <f>+BALANCE!H660</f>
        <v>0</v>
      </c>
      <c r="I164" s="22">
        <f>+BALANCE!I660</f>
        <v>3567.56529</v>
      </c>
      <c r="J164" s="22">
        <f>+BALANCE!J660</f>
        <v>3567.56529</v>
      </c>
      <c r="K164" s="79">
        <f>+BALANCE!K660</f>
        <v>0</v>
      </c>
    </row>
    <row r="165" spans="1:11" x14ac:dyDescent="0.2">
      <c r="A165" s="93">
        <v>159</v>
      </c>
      <c r="B165" s="20">
        <f>+BALANCE!B661</f>
        <v>2302</v>
      </c>
      <c r="C165" s="21" t="str">
        <f>+BALANCE!C661</f>
        <v>Giros, transferencias y cobranzas por pagar</v>
      </c>
      <c r="D165" s="22">
        <f>+BALANCE!D661</f>
        <v>0</v>
      </c>
      <c r="E165" s="22">
        <f>+BALANCE!E661</f>
        <v>0</v>
      </c>
      <c r="F165" s="22">
        <f>+BALANCE!F661</f>
        <v>0</v>
      </c>
      <c r="G165" s="22">
        <f>+BALANCE!G661</f>
        <v>112.10769000000001</v>
      </c>
      <c r="H165" s="22">
        <f>+BALANCE!H661</f>
        <v>0</v>
      </c>
      <c r="I165" s="22">
        <f>+BALANCE!I661</f>
        <v>112.10769000000001</v>
      </c>
      <c r="J165" s="22">
        <f>+BALANCE!J661</f>
        <v>112.10769000000001</v>
      </c>
      <c r="K165" s="79">
        <f>+BALANCE!K661</f>
        <v>0</v>
      </c>
    </row>
    <row r="166" spans="1:11" x14ac:dyDescent="0.2">
      <c r="A166" s="93">
        <v>160</v>
      </c>
      <c r="B166" s="20">
        <f>+BALANCE!B664</f>
        <v>2303</v>
      </c>
      <c r="C166" s="21" t="str">
        <f>+BALANCE!C664</f>
        <v>Recaudaciones para el sector público</v>
      </c>
      <c r="D166" s="22">
        <f>+BALANCE!D664</f>
        <v>0</v>
      </c>
      <c r="E166" s="22">
        <f>+BALANCE!E664</f>
        <v>0</v>
      </c>
      <c r="F166" s="22">
        <f>+BALANCE!F664</f>
        <v>0</v>
      </c>
      <c r="G166" s="22">
        <f>+BALANCE!G664</f>
        <v>15946.69722</v>
      </c>
      <c r="H166" s="22">
        <f>+BALANCE!H664</f>
        <v>0</v>
      </c>
      <c r="I166" s="22">
        <f>+BALANCE!I664</f>
        <v>15946.69722</v>
      </c>
      <c r="J166" s="22">
        <f>+BALANCE!J664</f>
        <v>15946.69722</v>
      </c>
      <c r="K166" s="79">
        <f>+BALANCE!K664</f>
        <v>0</v>
      </c>
    </row>
    <row r="167" spans="1:11" x14ac:dyDescent="0.2">
      <c r="A167" s="93">
        <v>161</v>
      </c>
      <c r="B167" s="20">
        <f>+BALANCE!B665</f>
        <v>2304</v>
      </c>
      <c r="C167" s="21" t="str">
        <f>+BALANCE!C665</f>
        <v>Valores en circulación y cupones por pagar</v>
      </c>
      <c r="D167" s="22">
        <f>+BALANCE!D665</f>
        <v>0</v>
      </c>
      <c r="E167" s="22">
        <f>+BALANCE!E665</f>
        <v>0</v>
      </c>
      <c r="F167" s="22">
        <f>+BALANCE!F665</f>
        <v>0</v>
      </c>
      <c r="G167" s="22">
        <f>+BALANCE!G665</f>
        <v>0</v>
      </c>
      <c r="H167" s="22">
        <f>+BALANCE!H665</f>
        <v>0</v>
      </c>
      <c r="I167" s="22">
        <f>+BALANCE!I665</f>
        <v>0</v>
      </c>
      <c r="J167" s="22">
        <f>+BALANCE!J665</f>
        <v>0</v>
      </c>
      <c r="K167" s="79">
        <f>+BALANCE!K665</f>
        <v>0</v>
      </c>
    </row>
    <row r="168" spans="1:11" x14ac:dyDescent="0.2">
      <c r="A168" s="93">
        <v>162</v>
      </c>
      <c r="B168" s="20">
        <f>+BALANCE!B669</f>
        <v>24</v>
      </c>
      <c r="C168" s="21" t="str">
        <f>+BALANCE!C669</f>
        <v>ACEPTACIONES EN CIRCULACION</v>
      </c>
      <c r="D168" s="22">
        <f>+BALANCE!D669</f>
        <v>0</v>
      </c>
      <c r="E168" s="22">
        <f>+BALANCE!E669</f>
        <v>0</v>
      </c>
      <c r="F168" s="22">
        <f>+BALANCE!F669</f>
        <v>0</v>
      </c>
      <c r="G168" s="22">
        <f>+BALANCE!G669</f>
        <v>0</v>
      </c>
      <c r="H168" s="22">
        <f>+BALANCE!H669</f>
        <v>0</v>
      </c>
      <c r="I168" s="22">
        <f>+BALANCE!I669</f>
        <v>0</v>
      </c>
      <c r="J168" s="22">
        <f>+BALANCE!J669</f>
        <v>0</v>
      </c>
      <c r="K168" s="79">
        <f>+BALANCE!K669</f>
        <v>0</v>
      </c>
    </row>
    <row r="169" spans="1:11" x14ac:dyDescent="0.2">
      <c r="A169" s="93">
        <v>163</v>
      </c>
      <c r="B169" s="20">
        <f>+BALANCE!B672</f>
        <v>25</v>
      </c>
      <c r="C169" s="21" t="str">
        <f>+BALANCE!C672</f>
        <v>CUENTAS POR PAGAR</v>
      </c>
      <c r="D169" s="22">
        <f>+BALANCE!D672</f>
        <v>8287.8509400000003</v>
      </c>
      <c r="E169" s="22">
        <f>+BALANCE!E672</f>
        <v>8287.8509400000003</v>
      </c>
      <c r="F169" s="22">
        <f>+BALANCE!F672</f>
        <v>124649.54824</v>
      </c>
      <c r="G169" s="22">
        <f>+BALANCE!G672</f>
        <v>37357.992850000002</v>
      </c>
      <c r="H169" s="22">
        <f>+BALANCE!H672</f>
        <v>56565.903879999998</v>
      </c>
      <c r="I169" s="22">
        <f>+BALANCE!I672</f>
        <v>218573.44497000001</v>
      </c>
      <c r="J169" s="22">
        <f>+BALANCE!J672</f>
        <v>226861.29591000002</v>
      </c>
      <c r="K169" s="79">
        <f>+BALANCE!K672</f>
        <v>4589.2739000000001</v>
      </c>
    </row>
    <row r="170" spans="1:11" x14ac:dyDescent="0.2">
      <c r="A170" s="93">
        <v>164</v>
      </c>
      <c r="B170" s="20">
        <f>+BALANCE!B673</f>
        <v>2501</v>
      </c>
      <c r="C170" s="21" t="str">
        <f>+BALANCE!C673</f>
        <v>Intereses por pagar</v>
      </c>
      <c r="D170" s="22">
        <f>+BALANCE!D673</f>
        <v>4594.4951700000001</v>
      </c>
      <c r="E170" s="22">
        <f>+BALANCE!E673</f>
        <v>4594.4951700000001</v>
      </c>
      <c r="F170" s="22">
        <f>+BALANCE!F673</f>
        <v>28626.26224</v>
      </c>
      <c r="G170" s="22">
        <f>+BALANCE!G673</f>
        <v>1561.05126</v>
      </c>
      <c r="H170" s="22">
        <f>+BALANCE!H673</f>
        <v>9375.8816999999999</v>
      </c>
      <c r="I170" s="22">
        <f>+BALANCE!I673</f>
        <v>39563.195200000002</v>
      </c>
      <c r="J170" s="22">
        <f>+BALANCE!J673</f>
        <v>44157.690370000004</v>
      </c>
      <c r="K170" s="79">
        <f>+BALANCE!K673</f>
        <v>0</v>
      </c>
    </row>
    <row r="171" spans="1:11" x14ac:dyDescent="0.2">
      <c r="A171" s="93">
        <v>165</v>
      </c>
      <c r="B171" s="20">
        <f>+BALANCE!B686</f>
        <v>2502</v>
      </c>
      <c r="C171" s="21" t="str">
        <f>+BALANCE!C686</f>
        <v>Comisiones por pagar</v>
      </c>
      <c r="D171" s="22">
        <f>+BALANCE!D686</f>
        <v>0</v>
      </c>
      <c r="E171" s="22">
        <f>+BALANCE!E686</f>
        <v>0</v>
      </c>
      <c r="F171" s="22">
        <f>+BALANCE!F686</f>
        <v>1.8049599999999999</v>
      </c>
      <c r="G171" s="22">
        <f>+BALANCE!G686</f>
        <v>0</v>
      </c>
      <c r="H171" s="22">
        <f>+BALANCE!H686</f>
        <v>0</v>
      </c>
      <c r="I171" s="22">
        <f>+BALANCE!I686</f>
        <v>1.8049599999999999</v>
      </c>
      <c r="J171" s="22">
        <f>+BALANCE!J686</f>
        <v>1.8049599999999999</v>
      </c>
      <c r="K171" s="79">
        <f>+BALANCE!K686</f>
        <v>0</v>
      </c>
    </row>
    <row r="172" spans="1:11" x14ac:dyDescent="0.2">
      <c r="A172" s="93">
        <v>166</v>
      </c>
      <c r="B172" s="20">
        <f>+BALANCE!B687</f>
        <v>2503</v>
      </c>
      <c r="C172" s="21" t="str">
        <f>+BALANCE!C687</f>
        <v>Obligaciones patronales</v>
      </c>
      <c r="D172" s="22">
        <f>+BALANCE!D687</f>
        <v>231.90566000000001</v>
      </c>
      <c r="E172" s="22">
        <f>+BALANCE!E687</f>
        <v>231.90566000000001</v>
      </c>
      <c r="F172" s="22">
        <f>+BALANCE!F687</f>
        <v>758.21635000000003</v>
      </c>
      <c r="G172" s="22">
        <f>+BALANCE!G687</f>
        <v>2938.7875199999999</v>
      </c>
      <c r="H172" s="22">
        <f>+BALANCE!H687</f>
        <v>1254.15283</v>
      </c>
      <c r="I172" s="22">
        <f>+BALANCE!I687</f>
        <v>4951.1566999999995</v>
      </c>
      <c r="J172" s="22">
        <f>+BALANCE!J687</f>
        <v>5183.0623599999999</v>
      </c>
      <c r="K172" s="79">
        <f>+BALANCE!K687</f>
        <v>528.50126</v>
      </c>
    </row>
    <row r="173" spans="1:11" x14ac:dyDescent="0.2">
      <c r="A173" s="93">
        <v>167</v>
      </c>
      <c r="B173" s="20">
        <f>+BALANCE!B695</f>
        <v>2504</v>
      </c>
      <c r="C173" s="21" t="str">
        <f>+BALANCE!C695</f>
        <v>Retenciones</v>
      </c>
      <c r="D173" s="22">
        <f>+BALANCE!D695</f>
        <v>168.20313999999999</v>
      </c>
      <c r="E173" s="22">
        <f>+BALANCE!E695</f>
        <v>168.20313999999999</v>
      </c>
      <c r="F173" s="22">
        <f>+BALANCE!F695</f>
        <v>33.035690000000002</v>
      </c>
      <c r="G173" s="22">
        <f>+BALANCE!G695</f>
        <v>808.46996000000001</v>
      </c>
      <c r="H173" s="22">
        <f>+BALANCE!H695</f>
        <v>509.90203000000002</v>
      </c>
      <c r="I173" s="22">
        <f>+BALANCE!I695</f>
        <v>1351.40768</v>
      </c>
      <c r="J173" s="22">
        <f>+BALANCE!J695</f>
        <v>1519.6108200000001</v>
      </c>
      <c r="K173" s="79">
        <f>+BALANCE!K695</f>
        <v>5.2219600000000002</v>
      </c>
    </row>
    <row r="174" spans="1:11" x14ac:dyDescent="0.2">
      <c r="A174" s="93">
        <v>168</v>
      </c>
      <c r="B174" s="20">
        <f>+BALANCE!B698</f>
        <v>2505</v>
      </c>
      <c r="C174" s="21" t="str">
        <f>+BALANCE!C698</f>
        <v>Contribuciones, impuestos y multas</v>
      </c>
      <c r="D174" s="22">
        <f>+BALANCE!D698</f>
        <v>0</v>
      </c>
      <c r="E174" s="22">
        <f>+BALANCE!E698</f>
        <v>0</v>
      </c>
      <c r="F174" s="22">
        <f>+BALANCE!F698</f>
        <v>2870.71101</v>
      </c>
      <c r="G174" s="22">
        <f>+BALANCE!G698</f>
        <v>420.48192</v>
      </c>
      <c r="H174" s="22">
        <f>+BALANCE!H698</f>
        <v>670.33727999999996</v>
      </c>
      <c r="I174" s="22">
        <f>+BALANCE!I698</f>
        <v>3961.5302099999999</v>
      </c>
      <c r="J174" s="22">
        <f>+BALANCE!J698</f>
        <v>3961.5302099999999</v>
      </c>
      <c r="K174" s="79">
        <f>+BALANCE!K698</f>
        <v>0</v>
      </c>
    </row>
    <row r="175" spans="1:11" x14ac:dyDescent="0.2">
      <c r="A175" s="93">
        <v>169</v>
      </c>
      <c r="B175" s="20">
        <f>+BALANCE!B702</f>
        <v>2506</v>
      </c>
      <c r="C175" s="21" t="str">
        <f>+BALANCE!C702</f>
        <v>Proveedores</v>
      </c>
      <c r="D175" s="22">
        <f>+BALANCE!D702</f>
        <v>0</v>
      </c>
      <c r="E175" s="22">
        <f>+BALANCE!E702</f>
        <v>0</v>
      </c>
      <c r="F175" s="22">
        <f>+BALANCE!F702</f>
        <v>0</v>
      </c>
      <c r="G175" s="22">
        <f>+BALANCE!G702</f>
        <v>7155.8060100000002</v>
      </c>
      <c r="H175" s="22">
        <f>+BALANCE!H702</f>
        <v>0</v>
      </c>
      <c r="I175" s="22">
        <f>+BALANCE!I702</f>
        <v>7155.8060100000002</v>
      </c>
      <c r="J175" s="22">
        <f>+BALANCE!J702</f>
        <v>7155.8060100000002</v>
      </c>
      <c r="K175" s="79">
        <f>+BALANCE!K702</f>
        <v>1363.06441</v>
      </c>
    </row>
    <row r="176" spans="1:11" x14ac:dyDescent="0.2">
      <c r="A176" s="93">
        <v>170</v>
      </c>
      <c r="B176" s="20">
        <f>+BALANCE!B703</f>
        <v>2507</v>
      </c>
      <c r="C176" s="21" t="str">
        <f>+BALANCE!C703</f>
        <v>Obligaciones por compra de cartera</v>
      </c>
      <c r="D176" s="22">
        <f>+BALANCE!D703</f>
        <v>0</v>
      </c>
      <c r="E176" s="22">
        <f>+BALANCE!E703</f>
        <v>0</v>
      </c>
      <c r="F176" s="22">
        <f>+BALANCE!F703</f>
        <v>0</v>
      </c>
      <c r="G176" s="22">
        <f>+BALANCE!G703</f>
        <v>0</v>
      </c>
      <c r="H176" s="22">
        <f>+BALANCE!H703</f>
        <v>0</v>
      </c>
      <c r="I176" s="22">
        <f>+BALANCE!I703</f>
        <v>0</v>
      </c>
      <c r="J176" s="22">
        <f>+BALANCE!J703</f>
        <v>0</v>
      </c>
      <c r="K176" s="79">
        <f>+BALANCE!K703</f>
        <v>0</v>
      </c>
    </row>
    <row r="177" spans="1:11" x14ac:dyDescent="0.2">
      <c r="A177" s="93">
        <v>171</v>
      </c>
      <c r="B177" s="20">
        <f>+BALANCE!B704</f>
        <v>2508</v>
      </c>
      <c r="C177" s="21" t="str">
        <f>+BALANCE!C704</f>
        <v>Retrogarantías por pagar</v>
      </c>
      <c r="D177" s="22">
        <f>+BALANCE!D704</f>
        <v>0</v>
      </c>
      <c r="E177" s="22">
        <f>+BALANCE!E704</f>
        <v>0</v>
      </c>
      <c r="F177" s="22">
        <f>+BALANCE!F704</f>
        <v>0</v>
      </c>
      <c r="G177" s="22">
        <f>+BALANCE!G704</f>
        <v>0</v>
      </c>
      <c r="H177" s="22">
        <f>+BALANCE!H704</f>
        <v>0</v>
      </c>
      <c r="I177" s="22">
        <f>+BALANCE!I704</f>
        <v>0</v>
      </c>
      <c r="J177" s="22">
        <f>+BALANCE!J704</f>
        <v>0</v>
      </c>
      <c r="K177" s="79">
        <f>+BALANCE!K704</f>
        <v>0</v>
      </c>
    </row>
    <row r="178" spans="1:11" x14ac:dyDescent="0.2">
      <c r="A178" s="93">
        <v>172</v>
      </c>
      <c r="B178" s="20">
        <f>+BALANCE!B705</f>
        <v>2510</v>
      </c>
      <c r="C178" s="21" t="str">
        <f>+BALANCE!C705</f>
        <v>Cuentas por pagar a establecimientos afiliados</v>
      </c>
      <c r="D178" s="22">
        <f>+BALANCE!D705</f>
        <v>0</v>
      </c>
      <c r="E178" s="22">
        <f>+BALANCE!E705</f>
        <v>0</v>
      </c>
      <c r="F178" s="22">
        <f>+BALANCE!F705</f>
        <v>0</v>
      </c>
      <c r="G178" s="22">
        <f>+BALANCE!G705</f>
        <v>0</v>
      </c>
      <c r="H178" s="22">
        <f>+BALANCE!H705</f>
        <v>0</v>
      </c>
      <c r="I178" s="22">
        <f>+BALANCE!I705</f>
        <v>0</v>
      </c>
      <c r="J178" s="22">
        <f>+BALANCE!J705</f>
        <v>0</v>
      </c>
      <c r="K178" s="79">
        <f>+BALANCE!K705</f>
        <v>0</v>
      </c>
    </row>
    <row r="179" spans="1:11" x14ac:dyDescent="0.2">
      <c r="A179" s="93">
        <v>173</v>
      </c>
      <c r="B179" s="20">
        <f>+BALANCE!B706</f>
        <v>2511</v>
      </c>
      <c r="C179" s="21" t="str">
        <f>+BALANCE!C706</f>
        <v>Provisiones para aceptaciones bancarias y operaciones contingentes</v>
      </c>
      <c r="D179" s="22">
        <f>+BALANCE!D706</f>
        <v>0</v>
      </c>
      <c r="E179" s="22">
        <f>+BALANCE!E706</f>
        <v>0</v>
      </c>
      <c r="F179" s="22">
        <f>+BALANCE!F706</f>
        <v>0</v>
      </c>
      <c r="G179" s="22">
        <f>+BALANCE!G706</f>
        <v>0</v>
      </c>
      <c r="H179" s="22">
        <f>+BALANCE!H706</f>
        <v>0</v>
      </c>
      <c r="I179" s="22">
        <f>+BALANCE!I706</f>
        <v>0</v>
      </c>
      <c r="J179" s="22">
        <f>+BALANCE!J706</f>
        <v>0</v>
      </c>
      <c r="K179" s="79">
        <f>+BALANCE!K706</f>
        <v>0</v>
      </c>
    </row>
    <row r="180" spans="1:11" x14ac:dyDescent="0.2">
      <c r="A180" s="93">
        <v>174</v>
      </c>
      <c r="B180" s="20">
        <f>+BALANCE!B707</f>
        <v>2590</v>
      </c>
      <c r="C180" s="21" t="str">
        <f>+BALANCE!C707</f>
        <v>Cuentas por pagar varias</v>
      </c>
      <c r="D180" s="22">
        <f>+BALANCE!D707</f>
        <v>3293.2469700000001</v>
      </c>
      <c r="E180" s="22">
        <f>+BALANCE!E707</f>
        <v>3293.2469700000001</v>
      </c>
      <c r="F180" s="22">
        <f>+BALANCE!F707</f>
        <v>92359.517989999993</v>
      </c>
      <c r="G180" s="22">
        <f>+BALANCE!G707</f>
        <v>24473.39618</v>
      </c>
      <c r="H180" s="22">
        <f>+BALANCE!H707</f>
        <v>44755.630039999996</v>
      </c>
      <c r="I180" s="22">
        <f>+BALANCE!I707</f>
        <v>161588.54420999999</v>
      </c>
      <c r="J180" s="22">
        <f>+BALANCE!J707</f>
        <v>164881.79118</v>
      </c>
      <c r="K180" s="79">
        <f>+BALANCE!K707</f>
        <v>2692.4862699999999</v>
      </c>
    </row>
    <row r="181" spans="1:11" x14ac:dyDescent="0.2">
      <c r="A181" s="93">
        <v>175</v>
      </c>
      <c r="B181" s="20">
        <f>+BALANCE!B713</f>
        <v>26</v>
      </c>
      <c r="C181" s="21" t="str">
        <f>+BALANCE!C713</f>
        <v>OBLIGACIONES FINANCIERAS</v>
      </c>
      <c r="D181" s="22">
        <f>+BALANCE!D713</f>
        <v>917.75852999999995</v>
      </c>
      <c r="E181" s="22">
        <f>+BALANCE!E713</f>
        <v>917.75852999999995</v>
      </c>
      <c r="F181" s="22">
        <f>+BALANCE!F713</f>
        <v>13970.07429</v>
      </c>
      <c r="G181" s="22">
        <f>+BALANCE!G713</f>
        <v>241.19851</v>
      </c>
      <c r="H181" s="22">
        <f>+BALANCE!H713</f>
        <v>100048.11142</v>
      </c>
      <c r="I181" s="22">
        <f>+BALANCE!I713</f>
        <v>114259.38422000001</v>
      </c>
      <c r="J181" s="22">
        <f>+BALANCE!J713</f>
        <v>115177.14275000001</v>
      </c>
      <c r="K181" s="79">
        <f>+BALANCE!K713</f>
        <v>0</v>
      </c>
    </row>
    <row r="182" spans="1:11" x14ac:dyDescent="0.2">
      <c r="A182" s="93">
        <v>176</v>
      </c>
      <c r="B182" s="20">
        <f>+BALANCE!B714</f>
        <v>2601</v>
      </c>
      <c r="C182" s="21" t="str">
        <f>+BALANCE!C714</f>
        <v>Sobregiros</v>
      </c>
      <c r="D182" s="22">
        <f>+BALANCE!D714</f>
        <v>0</v>
      </c>
      <c r="E182" s="22">
        <f>+BALANCE!E714</f>
        <v>0</v>
      </c>
      <c r="F182" s="22">
        <f>+BALANCE!F714</f>
        <v>0</v>
      </c>
      <c r="G182" s="22">
        <f>+BALANCE!G714</f>
        <v>0</v>
      </c>
      <c r="H182" s="22">
        <f>+BALANCE!H714</f>
        <v>0</v>
      </c>
      <c r="I182" s="22">
        <f>+BALANCE!I714</f>
        <v>0</v>
      </c>
      <c r="J182" s="22">
        <f>+BALANCE!J714</f>
        <v>0</v>
      </c>
      <c r="K182" s="79">
        <f>+BALANCE!K714</f>
        <v>0</v>
      </c>
    </row>
    <row r="183" spans="1:11" x14ac:dyDescent="0.2">
      <c r="A183" s="93">
        <v>177</v>
      </c>
      <c r="B183" s="20">
        <f>+BALANCE!B715</f>
        <v>2602</v>
      </c>
      <c r="C183" s="21" t="str">
        <f>+BALANCE!C715</f>
        <v>Obligaciones con instituciones financieras del país</v>
      </c>
      <c r="D183" s="22">
        <f>+BALANCE!D715</f>
        <v>0</v>
      </c>
      <c r="E183" s="22">
        <f>+BALANCE!E715</f>
        <v>0</v>
      </c>
      <c r="F183" s="22">
        <f>+BALANCE!F715</f>
        <v>0</v>
      </c>
      <c r="G183" s="22">
        <f>+BALANCE!G715</f>
        <v>0</v>
      </c>
      <c r="H183" s="22">
        <f>+BALANCE!H715</f>
        <v>0</v>
      </c>
      <c r="I183" s="22">
        <f>+BALANCE!I715</f>
        <v>0</v>
      </c>
      <c r="J183" s="22">
        <f>+BALANCE!J715</f>
        <v>0</v>
      </c>
      <c r="K183" s="79">
        <f>+BALANCE!K715</f>
        <v>0</v>
      </c>
    </row>
    <row r="184" spans="1:11" x14ac:dyDescent="0.2">
      <c r="A184" s="93">
        <v>178</v>
      </c>
      <c r="B184" s="20">
        <f>+BALANCE!B721</f>
        <v>2603</v>
      </c>
      <c r="C184" s="21" t="str">
        <f>+BALANCE!C721</f>
        <v>Obligaciones con instituciones financieras del exterior</v>
      </c>
      <c r="D184" s="22">
        <f>+BALANCE!D721</f>
        <v>0</v>
      </c>
      <c r="E184" s="22">
        <f>+BALANCE!E721</f>
        <v>0</v>
      </c>
      <c r="F184" s="22">
        <f>+BALANCE!F721</f>
        <v>0</v>
      </c>
      <c r="G184" s="22">
        <f>+BALANCE!G721</f>
        <v>0</v>
      </c>
      <c r="H184" s="22">
        <f>+BALANCE!H721</f>
        <v>468.93610999999999</v>
      </c>
      <c r="I184" s="22">
        <f>+BALANCE!I721</f>
        <v>468.93610999999999</v>
      </c>
      <c r="J184" s="22">
        <f>+BALANCE!J721</f>
        <v>468.93610999999999</v>
      </c>
      <c r="K184" s="79">
        <f>+BALANCE!K721</f>
        <v>0</v>
      </c>
    </row>
    <row r="185" spans="1:11" x14ac:dyDescent="0.2">
      <c r="A185" s="93">
        <v>179</v>
      </c>
      <c r="B185" s="20">
        <f>+BALANCE!B727</f>
        <v>2604</v>
      </c>
      <c r="C185" s="21" t="str">
        <f>+BALANCE!C727</f>
        <v>Obligaciones con entidades del grupo financiero en el país</v>
      </c>
      <c r="D185" s="22">
        <f>+BALANCE!D727</f>
        <v>0</v>
      </c>
      <c r="E185" s="22">
        <f>+BALANCE!E727</f>
        <v>0</v>
      </c>
      <c r="F185" s="22">
        <f>+BALANCE!F727</f>
        <v>0</v>
      </c>
      <c r="G185" s="22">
        <f>+BALANCE!G727</f>
        <v>0</v>
      </c>
      <c r="H185" s="22">
        <f>+BALANCE!H727</f>
        <v>0</v>
      </c>
      <c r="I185" s="22">
        <f>+BALANCE!I727</f>
        <v>0</v>
      </c>
      <c r="J185" s="22">
        <f>+BALANCE!J727</f>
        <v>0</v>
      </c>
      <c r="K185" s="79">
        <f>+BALANCE!K727</f>
        <v>0</v>
      </c>
    </row>
    <row r="186" spans="1:11" x14ac:dyDescent="0.2">
      <c r="A186" s="93">
        <v>180</v>
      </c>
      <c r="B186" s="20">
        <f>+BALANCE!B733</f>
        <v>2605</v>
      </c>
      <c r="C186" s="21" t="str">
        <f>+BALANCE!C733</f>
        <v>Obligaciones con entidades del grupo financiero en el exterior</v>
      </c>
      <c r="D186" s="22">
        <f>+BALANCE!D733</f>
        <v>0</v>
      </c>
      <c r="E186" s="22">
        <f>+BALANCE!E733</f>
        <v>0</v>
      </c>
      <c r="F186" s="22">
        <f>+BALANCE!F733</f>
        <v>0</v>
      </c>
      <c r="G186" s="22">
        <f>+BALANCE!G733</f>
        <v>0</v>
      </c>
      <c r="H186" s="22">
        <f>+BALANCE!H733</f>
        <v>0</v>
      </c>
      <c r="I186" s="22">
        <f>+BALANCE!I733</f>
        <v>0</v>
      </c>
      <c r="J186" s="22">
        <f>+BALANCE!J733</f>
        <v>0</v>
      </c>
      <c r="K186" s="79">
        <f>+BALANCE!K733</f>
        <v>0</v>
      </c>
    </row>
    <row r="187" spans="1:11" x14ac:dyDescent="0.2">
      <c r="A187" s="93">
        <v>181</v>
      </c>
      <c r="B187" s="20">
        <f>+BALANCE!B739</f>
        <v>2606</v>
      </c>
      <c r="C187" s="21" t="str">
        <f>+BALANCE!C739</f>
        <v>Obligaciones con entidades financieras del sector público</v>
      </c>
      <c r="D187" s="22">
        <f>+BALANCE!D739</f>
        <v>0</v>
      </c>
      <c r="E187" s="22">
        <f>+BALANCE!E739</f>
        <v>0</v>
      </c>
      <c r="F187" s="22">
        <f>+BALANCE!F739</f>
        <v>0</v>
      </c>
      <c r="G187" s="22">
        <f>+BALANCE!G739</f>
        <v>236.27256</v>
      </c>
      <c r="H187" s="22">
        <f>+BALANCE!H739</f>
        <v>0</v>
      </c>
      <c r="I187" s="22">
        <f>+BALANCE!I739</f>
        <v>236.27256</v>
      </c>
      <c r="J187" s="22">
        <f>+BALANCE!J739</f>
        <v>236.27256</v>
      </c>
      <c r="K187" s="79">
        <f>+BALANCE!K739</f>
        <v>0</v>
      </c>
    </row>
    <row r="188" spans="1:11" x14ac:dyDescent="0.2">
      <c r="A188" s="93">
        <v>182</v>
      </c>
      <c r="B188" s="20">
        <f>+BALANCE!B745</f>
        <v>2607</v>
      </c>
      <c r="C188" s="21" t="str">
        <f>+BALANCE!C745</f>
        <v>Obligaciones con organismos multilaterales</v>
      </c>
      <c r="D188" s="22">
        <f>+BALANCE!D745</f>
        <v>917.75852999999995</v>
      </c>
      <c r="E188" s="22">
        <f>+BALANCE!E745</f>
        <v>917.75852999999995</v>
      </c>
      <c r="F188" s="22">
        <f>+BALANCE!F745</f>
        <v>13970.07429</v>
      </c>
      <c r="G188" s="22">
        <f>+BALANCE!G745</f>
        <v>4.9259500000000003</v>
      </c>
      <c r="H188" s="22">
        <f>+BALANCE!H745</f>
        <v>99579.175310000006</v>
      </c>
      <c r="I188" s="22">
        <f>+BALANCE!I745</f>
        <v>113554.17555000001</v>
      </c>
      <c r="J188" s="22">
        <f>+BALANCE!J745</f>
        <v>114471.93408000002</v>
      </c>
      <c r="K188" s="79">
        <f>+BALANCE!K745</f>
        <v>0</v>
      </c>
    </row>
    <row r="189" spans="1:11" x14ac:dyDescent="0.2">
      <c r="A189" s="93">
        <v>183</v>
      </c>
      <c r="B189" s="20">
        <f>+BALANCE!B751</f>
        <v>2608</v>
      </c>
      <c r="C189" s="21" t="str">
        <f>+BALANCE!C751</f>
        <v>Préstamo subordinado</v>
      </c>
      <c r="D189" s="22">
        <f>+BALANCE!D751</f>
        <v>0</v>
      </c>
      <c r="E189" s="22">
        <f>+BALANCE!E751</f>
        <v>0</v>
      </c>
      <c r="F189" s="22">
        <f>+BALANCE!F751</f>
        <v>0</v>
      </c>
      <c r="G189" s="22">
        <f>+BALANCE!G751</f>
        <v>0</v>
      </c>
      <c r="H189" s="22">
        <f>+BALANCE!H751</f>
        <v>0</v>
      </c>
      <c r="I189" s="22">
        <f>+BALANCE!I751</f>
        <v>0</v>
      </c>
      <c r="J189" s="22">
        <f>+BALANCE!J751</f>
        <v>0</v>
      </c>
      <c r="K189" s="79">
        <f>+BALANCE!K751</f>
        <v>0</v>
      </c>
    </row>
    <row r="190" spans="1:11" x14ac:dyDescent="0.2">
      <c r="A190" s="93">
        <v>184</v>
      </c>
      <c r="B190" s="20">
        <f>+BALANCE!B757</f>
        <v>2609</v>
      </c>
      <c r="C190" s="21" t="str">
        <f>+BALANCE!C757</f>
        <v>Obligaciones con entidades del sector público</v>
      </c>
      <c r="D190" s="22">
        <f>+BALANCE!D757</f>
        <v>0</v>
      </c>
      <c r="E190" s="22">
        <f>+BALANCE!E757</f>
        <v>0</v>
      </c>
      <c r="F190" s="22">
        <f>+BALANCE!F757</f>
        <v>0</v>
      </c>
      <c r="G190" s="22">
        <f>+BALANCE!G757</f>
        <v>0</v>
      </c>
      <c r="H190" s="22">
        <f>+BALANCE!H757</f>
        <v>0</v>
      </c>
      <c r="I190" s="22">
        <f>+BALANCE!I757</f>
        <v>0</v>
      </c>
      <c r="J190" s="22">
        <f>+BALANCE!J757</f>
        <v>0</v>
      </c>
      <c r="K190" s="79">
        <f>+BALANCE!K757</f>
        <v>0</v>
      </c>
    </row>
    <row r="191" spans="1:11" x14ac:dyDescent="0.2">
      <c r="A191" s="93">
        <v>185</v>
      </c>
      <c r="B191" s="20">
        <f>+BALANCE!B763</f>
        <v>2690</v>
      </c>
      <c r="C191" s="21" t="str">
        <f>+BALANCE!C763</f>
        <v>Otras obligaciones</v>
      </c>
      <c r="D191" s="22">
        <f>+BALANCE!D763</f>
        <v>0</v>
      </c>
      <c r="E191" s="22">
        <f>+BALANCE!E763</f>
        <v>0</v>
      </c>
      <c r="F191" s="22">
        <f>+BALANCE!F763</f>
        <v>0</v>
      </c>
      <c r="G191" s="22">
        <f>+BALANCE!G763</f>
        <v>0</v>
      </c>
      <c r="H191" s="22">
        <f>+BALANCE!H763</f>
        <v>0</v>
      </c>
      <c r="I191" s="22">
        <f>+BALANCE!I763</f>
        <v>0</v>
      </c>
      <c r="J191" s="22">
        <f>+BALANCE!J763</f>
        <v>0</v>
      </c>
      <c r="K191" s="79">
        <f>+BALANCE!K763</f>
        <v>0</v>
      </c>
    </row>
    <row r="192" spans="1:11" x14ac:dyDescent="0.2">
      <c r="A192" s="93">
        <v>186</v>
      </c>
      <c r="B192" s="20">
        <f>+BALANCE!B769</f>
        <v>27</v>
      </c>
      <c r="C192" s="21" t="str">
        <f>+BALANCE!C769</f>
        <v>VALORES EN CIRCULACION</v>
      </c>
      <c r="D192" s="22">
        <f>+BALANCE!D769</f>
        <v>0</v>
      </c>
      <c r="E192" s="22">
        <f>+BALANCE!E769</f>
        <v>0</v>
      </c>
      <c r="F192" s="22">
        <f>+BALANCE!F769</f>
        <v>0</v>
      </c>
      <c r="G192" s="22">
        <f>+BALANCE!G769</f>
        <v>0</v>
      </c>
      <c r="H192" s="22">
        <f>+BALANCE!H769</f>
        <v>0</v>
      </c>
      <c r="I192" s="22">
        <f>+BALANCE!I769</f>
        <v>0</v>
      </c>
      <c r="J192" s="22">
        <f>+BALANCE!J769</f>
        <v>0</v>
      </c>
      <c r="K192" s="79">
        <f>+BALANCE!K769</f>
        <v>0</v>
      </c>
    </row>
    <row r="193" spans="1:11" x14ac:dyDescent="0.2">
      <c r="A193" s="93">
        <v>187</v>
      </c>
      <c r="B193" s="20">
        <f>+BALANCE!B783</f>
        <v>28</v>
      </c>
      <c r="C193" s="21" t="str">
        <f>+BALANCE!C783</f>
        <v>OBLIGACIONES CONVERTIBLES EN ACCIONES Y APORTES PARA FUTURA CAPITALIZACION</v>
      </c>
      <c r="D193" s="22">
        <f>+BALANCE!D783</f>
        <v>0</v>
      </c>
      <c r="E193" s="22">
        <f>+BALANCE!E783</f>
        <v>0</v>
      </c>
      <c r="F193" s="22">
        <f>+BALANCE!F783</f>
        <v>0</v>
      </c>
      <c r="G193" s="22">
        <f>+BALANCE!G783</f>
        <v>0</v>
      </c>
      <c r="H193" s="22">
        <f>+BALANCE!H783</f>
        <v>0</v>
      </c>
      <c r="I193" s="22">
        <f>+BALANCE!I783</f>
        <v>0</v>
      </c>
      <c r="J193" s="22">
        <f>+BALANCE!J783</f>
        <v>0</v>
      </c>
      <c r="K193" s="79">
        <f>+BALANCE!K783</f>
        <v>0</v>
      </c>
    </row>
    <row r="194" spans="1:11" x14ac:dyDescent="0.2">
      <c r="A194" s="93">
        <v>188</v>
      </c>
      <c r="B194" s="20">
        <f>+BALANCE!B784</f>
        <v>2801</v>
      </c>
      <c r="C194" s="21" t="str">
        <f>+BALANCE!C784</f>
        <v>Obligaciones convertibles en acciones</v>
      </c>
      <c r="D194" s="22">
        <f>+BALANCE!D784</f>
        <v>0</v>
      </c>
      <c r="E194" s="22">
        <f>+BALANCE!E784</f>
        <v>0</v>
      </c>
      <c r="F194" s="22">
        <f>+BALANCE!F784</f>
        <v>0</v>
      </c>
      <c r="G194" s="22">
        <f>+BALANCE!G784</f>
        <v>0</v>
      </c>
      <c r="H194" s="22">
        <f>+BALANCE!H784</f>
        <v>0</v>
      </c>
      <c r="I194" s="22">
        <f>+BALANCE!I784</f>
        <v>0</v>
      </c>
      <c r="J194" s="22">
        <f>+BALANCE!J784</f>
        <v>0</v>
      </c>
      <c r="K194" s="79">
        <f>+BALANCE!K784</f>
        <v>0</v>
      </c>
    </row>
    <row r="195" spans="1:11" x14ac:dyDescent="0.2">
      <c r="A195" s="93">
        <v>189</v>
      </c>
      <c r="B195" s="20">
        <f>+BALANCE!B787</f>
        <v>2802</v>
      </c>
      <c r="C195" s="21" t="str">
        <f>+BALANCE!C787</f>
        <v>Aportes para futura capitalización</v>
      </c>
      <c r="D195" s="22">
        <f>+BALANCE!D787</f>
        <v>0</v>
      </c>
      <c r="E195" s="22">
        <f>+BALANCE!E787</f>
        <v>0</v>
      </c>
      <c r="F195" s="22">
        <f>+BALANCE!F787</f>
        <v>0</v>
      </c>
      <c r="G195" s="22">
        <f>+BALANCE!G787</f>
        <v>0</v>
      </c>
      <c r="H195" s="22">
        <f>+BALANCE!H787</f>
        <v>0</v>
      </c>
      <c r="I195" s="22">
        <f>+BALANCE!I787</f>
        <v>0</v>
      </c>
      <c r="J195" s="22">
        <f>+BALANCE!J787</f>
        <v>0</v>
      </c>
      <c r="K195" s="79">
        <f>+BALANCE!K787</f>
        <v>0</v>
      </c>
    </row>
    <row r="196" spans="1:11" x14ac:dyDescent="0.2">
      <c r="A196" s="93">
        <v>190</v>
      </c>
      <c r="B196" s="20">
        <f>+BALANCE!B788</f>
        <v>29</v>
      </c>
      <c r="C196" s="21" t="str">
        <f>+BALANCE!C788</f>
        <v>OTROS PASIVOS</v>
      </c>
      <c r="D196" s="22">
        <f>+BALANCE!D788</f>
        <v>14281.50799</v>
      </c>
      <c r="E196" s="22">
        <f>+BALANCE!E788</f>
        <v>14281.50799</v>
      </c>
      <c r="F196" s="22">
        <f>+BALANCE!F788</f>
        <v>363660.78824999998</v>
      </c>
      <c r="G196" s="22">
        <f>+BALANCE!G788</f>
        <v>47379.890800000001</v>
      </c>
      <c r="H196" s="22">
        <f>+BALANCE!H788</f>
        <v>1986.6985999999999</v>
      </c>
      <c r="I196" s="22">
        <f>+BALANCE!I788</f>
        <v>413027.37764999998</v>
      </c>
      <c r="J196" s="22">
        <f>+BALANCE!J788</f>
        <v>427308.88563999999</v>
      </c>
      <c r="K196" s="79">
        <f>+BALANCE!K788</f>
        <v>35633.31205</v>
      </c>
    </row>
    <row r="197" spans="1:11" ht="15" x14ac:dyDescent="0.25">
      <c r="A197" s="93">
        <v>191</v>
      </c>
      <c r="B197" s="20"/>
      <c r="C197" s="24" t="str">
        <f>+BALANCE!C805</f>
        <v>TOTAL PASIVO</v>
      </c>
      <c r="D197" s="81">
        <f>+BALANCE!D805</f>
        <v>183493.60060999999</v>
      </c>
      <c r="E197" s="81">
        <f>+BALANCE!E805</f>
        <v>183493.60060999999</v>
      </c>
      <c r="F197" s="81">
        <f>+BALANCE!F805</f>
        <v>929373.24679</v>
      </c>
      <c r="G197" s="81">
        <f>+BALANCE!G805</f>
        <v>1111302.22538</v>
      </c>
      <c r="H197" s="81">
        <f>+BALANCE!H805</f>
        <v>1340639.9969899999</v>
      </c>
      <c r="I197" s="81">
        <f>+BALANCE!I805</f>
        <v>3381315.4691599999</v>
      </c>
      <c r="J197" s="81">
        <f>+BALANCE!J805</f>
        <v>3564809.0697699999</v>
      </c>
      <c r="K197" s="82">
        <f>+BALANCE!K805</f>
        <v>40222.585950000001</v>
      </c>
    </row>
    <row r="198" spans="1:11" ht="15" x14ac:dyDescent="0.25">
      <c r="A198" s="93">
        <v>192</v>
      </c>
      <c r="B198" s="20"/>
      <c r="C198" s="24"/>
      <c r="D198" s="81"/>
      <c r="E198" s="81"/>
      <c r="F198" s="81"/>
      <c r="G198" s="81"/>
      <c r="H198" s="81"/>
      <c r="I198" s="81"/>
      <c r="J198" s="81"/>
      <c r="K198" s="82"/>
    </row>
    <row r="199" spans="1:11" ht="15" x14ac:dyDescent="0.25">
      <c r="A199" s="93">
        <v>193</v>
      </c>
      <c r="B199" s="20"/>
      <c r="C199" s="24" t="str">
        <f>+BALANCE!C807</f>
        <v>PATRIMONIO</v>
      </c>
      <c r="D199" s="81"/>
      <c r="E199" s="81"/>
      <c r="F199" s="81"/>
      <c r="G199" s="81"/>
      <c r="H199" s="81"/>
      <c r="I199" s="81"/>
      <c r="J199" s="81"/>
      <c r="K199" s="82"/>
    </row>
    <row r="200" spans="1:11" x14ac:dyDescent="0.2">
      <c r="A200" s="93">
        <v>194</v>
      </c>
      <c r="B200" s="20">
        <f>+BALANCE!B808</f>
        <v>31</v>
      </c>
      <c r="C200" s="21" t="str">
        <f>+BALANCE!C808</f>
        <v>CAPITAL SOCIAL</v>
      </c>
      <c r="D200" s="22">
        <f>+BALANCE!D808</f>
        <v>30000</v>
      </c>
      <c r="E200" s="22">
        <f>+BALANCE!E808</f>
        <v>30000</v>
      </c>
      <c r="F200" s="22">
        <f>+BALANCE!F808</f>
        <v>293668.03600000002</v>
      </c>
      <c r="G200" s="22">
        <f>+BALANCE!G808</f>
        <v>254296.67954000001</v>
      </c>
      <c r="H200" s="22">
        <f>+BALANCE!H808</f>
        <v>400000</v>
      </c>
      <c r="I200" s="22">
        <f>+BALANCE!I808</f>
        <v>947964.71554</v>
      </c>
      <c r="J200" s="22">
        <f>+BALANCE!J808</f>
        <v>977964.71554</v>
      </c>
      <c r="K200" s="79">
        <f>+BALANCE!K808</f>
        <v>0</v>
      </c>
    </row>
    <row r="201" spans="1:11" x14ac:dyDescent="0.2">
      <c r="A201" s="93">
        <v>195</v>
      </c>
      <c r="B201" s="20">
        <f>+BALANCE!B812</f>
        <v>32</v>
      </c>
      <c r="C201" s="21" t="str">
        <f>+BALANCE!C812</f>
        <v>PRIMA O DESCUENTO EN COLOCACION DE ACCIONES</v>
      </c>
      <c r="D201" s="22">
        <f>+BALANCE!D812</f>
        <v>0</v>
      </c>
      <c r="E201" s="22">
        <f>+BALANCE!E812</f>
        <v>0</v>
      </c>
      <c r="F201" s="22">
        <f>+BALANCE!F812</f>
        <v>0</v>
      </c>
      <c r="G201" s="22">
        <f>+BALANCE!G812</f>
        <v>0</v>
      </c>
      <c r="H201" s="22">
        <f>+BALANCE!H812</f>
        <v>0</v>
      </c>
      <c r="I201" s="22">
        <f>+BALANCE!I812</f>
        <v>0</v>
      </c>
      <c r="J201" s="22">
        <f>+BALANCE!J812</f>
        <v>0</v>
      </c>
      <c r="K201" s="79">
        <f>+BALANCE!K812</f>
        <v>0</v>
      </c>
    </row>
    <row r="202" spans="1:11" x14ac:dyDescent="0.2">
      <c r="A202" s="93">
        <v>196</v>
      </c>
      <c r="B202" s="20">
        <f>+BALANCE!B815</f>
        <v>33</v>
      </c>
      <c r="C202" s="21" t="str">
        <f>+BALANCE!C815</f>
        <v>RESERVAS</v>
      </c>
      <c r="D202" s="22">
        <f>+BALANCE!D815</f>
        <v>22270.871790000001</v>
      </c>
      <c r="E202" s="22">
        <f>+BALANCE!E815</f>
        <v>22270.871790000001</v>
      </c>
      <c r="F202" s="22">
        <f>+BALANCE!F815</f>
        <v>76500.898180000004</v>
      </c>
      <c r="G202" s="22">
        <f>+BALANCE!G815</f>
        <v>0.23916000000000001</v>
      </c>
      <c r="H202" s="22">
        <f>+BALANCE!H815</f>
        <v>48094.591890000003</v>
      </c>
      <c r="I202" s="22">
        <f>+BALANCE!I815</f>
        <v>124595.72923</v>
      </c>
      <c r="J202" s="22">
        <f>+BALANCE!J815</f>
        <v>146866.60102</v>
      </c>
      <c r="K202" s="79">
        <f>+BALANCE!K815</f>
        <v>362.79309000000001</v>
      </c>
    </row>
    <row r="203" spans="1:11" x14ac:dyDescent="0.2">
      <c r="A203" s="93">
        <v>197</v>
      </c>
      <c r="B203" s="20">
        <f>+BALANCE!B825</f>
        <v>34</v>
      </c>
      <c r="C203" s="21" t="str">
        <f>+BALANCE!C825</f>
        <v>OTROS APORTES PATRIMONIALES</v>
      </c>
      <c r="D203" s="22">
        <f>+BALANCE!D825</f>
        <v>15000</v>
      </c>
      <c r="E203" s="22">
        <f>+BALANCE!E825</f>
        <v>15000</v>
      </c>
      <c r="F203" s="22">
        <f>+BALANCE!F825</f>
        <v>29477.971010000001</v>
      </c>
      <c r="G203" s="22">
        <f>+BALANCE!G825</f>
        <v>234146.45366</v>
      </c>
      <c r="H203" s="22">
        <f>+BALANCE!H825</f>
        <v>362922.44185</v>
      </c>
      <c r="I203" s="22">
        <f>+BALANCE!I825</f>
        <v>626546.86651999992</v>
      </c>
      <c r="J203" s="22">
        <f>+BALANCE!J825</f>
        <v>641546.86651999992</v>
      </c>
      <c r="K203" s="79">
        <f>+BALANCE!K825</f>
        <v>357702.15230000002</v>
      </c>
    </row>
    <row r="204" spans="1:11" x14ac:dyDescent="0.2">
      <c r="A204" s="93">
        <v>198</v>
      </c>
      <c r="B204" s="20">
        <f>+BALANCE!B831</f>
        <v>35</v>
      </c>
      <c r="C204" s="21" t="str">
        <f>+BALANCE!C831</f>
        <v>SUPERAVIT POR VALUACIONES</v>
      </c>
      <c r="D204" s="22">
        <f>+BALANCE!D831</f>
        <v>4054.6382600000002</v>
      </c>
      <c r="E204" s="22">
        <f>+BALANCE!E831</f>
        <v>4054.6382600000002</v>
      </c>
      <c r="F204" s="22">
        <f>+BALANCE!F831</f>
        <v>12025.44083</v>
      </c>
      <c r="G204" s="22">
        <f>+BALANCE!G831</f>
        <v>16819.011689999999</v>
      </c>
      <c r="H204" s="22">
        <f>+BALANCE!H831</f>
        <v>8880.0333699999992</v>
      </c>
      <c r="I204" s="22">
        <f>+BALANCE!I831</f>
        <v>37724.485889999996</v>
      </c>
      <c r="J204" s="22">
        <f>+BALANCE!J831</f>
        <v>41779.124149999996</v>
      </c>
      <c r="K204" s="79">
        <f>+BALANCE!K831</f>
        <v>338.56409000000002</v>
      </c>
    </row>
    <row r="205" spans="1:11" x14ac:dyDescent="0.2">
      <c r="A205" s="93">
        <v>199</v>
      </c>
      <c r="B205" s="20">
        <f>+BALANCE!B834</f>
        <v>36</v>
      </c>
      <c r="C205" s="21" t="str">
        <f>+BALANCE!C834</f>
        <v>RESULTADOS</v>
      </c>
      <c r="D205" s="22">
        <f>+BALANCE!D834</f>
        <v>10729.207420000001</v>
      </c>
      <c r="E205" s="22">
        <f>+BALANCE!E834</f>
        <v>10729.207420000001</v>
      </c>
      <c r="F205" s="22">
        <f>+BALANCE!F834</f>
        <v>0</v>
      </c>
      <c r="G205" s="22">
        <f>+BALANCE!G834</f>
        <v>-91015.983800000002</v>
      </c>
      <c r="H205" s="22">
        <f>+BALANCE!H834</f>
        <v>0</v>
      </c>
      <c r="I205" s="22">
        <f>+BALANCE!I834</f>
        <v>-91015.983800000002</v>
      </c>
      <c r="J205" s="22">
        <f>+BALANCE!J834</f>
        <v>-80286.776379999996</v>
      </c>
      <c r="K205" s="79">
        <f>+BALANCE!K834</f>
        <v>5236.0186400000002</v>
      </c>
    </row>
    <row r="206" spans="1:11" x14ac:dyDescent="0.2">
      <c r="A206" s="93">
        <v>200</v>
      </c>
      <c r="B206" s="20">
        <f>+BALANCE!B835</f>
        <v>3601</v>
      </c>
      <c r="C206" s="21" t="str">
        <f>+BALANCE!C835</f>
        <v>Utilidades o excedentes acumuladas</v>
      </c>
      <c r="D206" s="22">
        <f>+BALANCE!D835</f>
        <v>10729.207420000001</v>
      </c>
      <c r="E206" s="22">
        <f>+BALANCE!E835</f>
        <v>10729.207420000001</v>
      </c>
      <c r="F206" s="22">
        <f>+BALANCE!F835</f>
        <v>0</v>
      </c>
      <c r="G206" s="22">
        <f>+BALANCE!G835</f>
        <v>20752.253649999999</v>
      </c>
      <c r="H206" s="22">
        <f>+BALANCE!H835</f>
        <v>0</v>
      </c>
      <c r="I206" s="22">
        <f>+BALANCE!I835</f>
        <v>20752.253649999999</v>
      </c>
      <c r="J206" s="22">
        <f>+BALANCE!J835</f>
        <v>31481.461069999998</v>
      </c>
      <c r="K206" s="79">
        <f>+BALANCE!K835</f>
        <v>8544.5668999999998</v>
      </c>
    </row>
    <row r="207" spans="1:11" x14ac:dyDescent="0.2">
      <c r="A207" s="93">
        <v>201</v>
      </c>
      <c r="B207" s="20">
        <f>+BALANCE!B836</f>
        <v>3602</v>
      </c>
      <c r="C207" s="21" t="str">
        <f>+BALANCE!C836</f>
        <v>(Pérdidas acumuladas)</v>
      </c>
      <c r="D207" s="22">
        <f>+BALANCE!D836</f>
        <v>0</v>
      </c>
      <c r="E207" s="22">
        <f>+BALANCE!E836</f>
        <v>0</v>
      </c>
      <c r="F207" s="22">
        <f>+BALANCE!F836</f>
        <v>0</v>
      </c>
      <c r="G207" s="22">
        <f>+BALANCE!G836</f>
        <v>-111768.23745</v>
      </c>
      <c r="H207" s="22">
        <f>+BALANCE!H836</f>
        <v>0</v>
      </c>
      <c r="I207" s="22">
        <f>+BALANCE!I836</f>
        <v>-111768.23745</v>
      </c>
      <c r="J207" s="22">
        <f>+BALANCE!J836</f>
        <v>-111768.23745</v>
      </c>
      <c r="K207" s="79">
        <f>+BALANCE!K836</f>
        <v>-3308.54826</v>
      </c>
    </row>
    <row r="208" spans="1:11" x14ac:dyDescent="0.2">
      <c r="A208" s="93">
        <v>202</v>
      </c>
      <c r="B208" s="20">
        <f>+BALANCE!B837</f>
        <v>3603</v>
      </c>
      <c r="C208" s="21" t="str">
        <f>+BALANCE!C837</f>
        <v>Utilidad o exedenter del ejercicio</v>
      </c>
      <c r="D208" s="22">
        <f>+BALANCE!D837</f>
        <v>0</v>
      </c>
      <c r="E208" s="22">
        <f>+BALANCE!E837</f>
        <v>0</v>
      </c>
      <c r="F208" s="22">
        <f>+BALANCE!F837</f>
        <v>0</v>
      </c>
      <c r="G208" s="22">
        <f>+BALANCE!G837</f>
        <v>0</v>
      </c>
      <c r="H208" s="22">
        <f>+BALANCE!H837</f>
        <v>0</v>
      </c>
      <c r="I208" s="22">
        <f>+BALANCE!I837</f>
        <v>0</v>
      </c>
      <c r="J208" s="22">
        <f>+BALANCE!J837</f>
        <v>0</v>
      </c>
      <c r="K208" s="79">
        <f>+BALANCE!K837</f>
        <v>0</v>
      </c>
    </row>
    <row r="209" spans="1:11" x14ac:dyDescent="0.2">
      <c r="A209" s="93">
        <v>203</v>
      </c>
      <c r="B209" s="20">
        <f>+BALANCE!B838</f>
        <v>3604</v>
      </c>
      <c r="C209" s="21" t="str">
        <f>+BALANCE!C838</f>
        <v>(Pérdida del ejercicio)</v>
      </c>
      <c r="D209" s="22">
        <f>+BALANCE!D838</f>
        <v>0</v>
      </c>
      <c r="E209" s="22">
        <f>+BALANCE!E838</f>
        <v>0</v>
      </c>
      <c r="F209" s="22">
        <f>+BALANCE!F838</f>
        <v>0</v>
      </c>
      <c r="G209" s="22">
        <f>+BALANCE!G838</f>
        <v>0</v>
      </c>
      <c r="H209" s="22">
        <f>+BALANCE!H838</f>
        <v>0</v>
      </c>
      <c r="I209" s="22">
        <f>+BALANCE!I838</f>
        <v>0</v>
      </c>
      <c r="J209" s="22">
        <f>+BALANCE!J838</f>
        <v>0</v>
      </c>
      <c r="K209" s="79">
        <f>+BALANCE!K838</f>
        <v>0</v>
      </c>
    </row>
    <row r="210" spans="1:11" ht="15" x14ac:dyDescent="0.25">
      <c r="A210" s="93">
        <v>204</v>
      </c>
      <c r="B210" s="20"/>
      <c r="C210" s="24" t="str">
        <f>+BALANCE!C839</f>
        <v>TOTAL PATRIMONIO</v>
      </c>
      <c r="D210" s="81">
        <f>+BALANCE!D839</f>
        <v>82054.717470000003</v>
      </c>
      <c r="E210" s="81">
        <f>+BALANCE!E839</f>
        <v>82054.717470000003</v>
      </c>
      <c r="F210" s="81">
        <f>+BALANCE!F839</f>
        <v>411672.34602</v>
      </c>
      <c r="G210" s="81">
        <f>+BALANCE!G839</f>
        <v>414246.40025000001</v>
      </c>
      <c r="H210" s="81">
        <f>+BALANCE!H839</f>
        <v>819897.06710999995</v>
      </c>
      <c r="I210" s="81">
        <f>+BALANCE!I839</f>
        <v>1645815.8133799999</v>
      </c>
      <c r="J210" s="81">
        <f>+BALANCE!J839</f>
        <v>1727870.53085</v>
      </c>
      <c r="K210" s="82">
        <f>+BALANCE!K839</f>
        <v>363639.52811999997</v>
      </c>
    </row>
    <row r="211" spans="1:11" ht="15" x14ac:dyDescent="0.25">
      <c r="A211" s="93">
        <v>205</v>
      </c>
      <c r="B211" s="20"/>
      <c r="C211" s="24"/>
      <c r="D211" s="81"/>
      <c r="E211" s="81"/>
      <c r="F211" s="81"/>
      <c r="G211" s="81"/>
      <c r="H211" s="81"/>
      <c r="I211" s="81"/>
      <c r="J211" s="81"/>
      <c r="K211" s="82"/>
    </row>
    <row r="212" spans="1:11" ht="15" x14ac:dyDescent="0.25">
      <c r="A212" s="93">
        <v>206</v>
      </c>
      <c r="B212" s="20"/>
      <c r="C212" s="24" t="str">
        <f>+BALANCE!C841</f>
        <v>TOTAL PASIVO Y PATRIMONIO</v>
      </c>
      <c r="D212" s="81">
        <f>+BALANCE!D841</f>
        <v>265548.31808</v>
      </c>
      <c r="E212" s="81">
        <f>+BALANCE!E841</f>
        <v>265548.31808</v>
      </c>
      <c r="F212" s="81">
        <f>+BALANCE!F841</f>
        <v>1341045.5928100001</v>
      </c>
      <c r="G212" s="81">
        <f>+BALANCE!G841</f>
        <v>1525548.6256299999</v>
      </c>
      <c r="H212" s="81">
        <f>+BALANCE!H841</f>
        <v>2160537.0641000001</v>
      </c>
      <c r="I212" s="81">
        <f>+BALANCE!I841</f>
        <v>5027131.28254</v>
      </c>
      <c r="J212" s="81">
        <f>+BALANCE!J841</f>
        <v>5292679.6006199997</v>
      </c>
      <c r="K212" s="82">
        <f>+BALANCE!K841</f>
        <v>403862.11407000001</v>
      </c>
    </row>
    <row r="213" spans="1:11" ht="15" x14ac:dyDescent="0.25">
      <c r="A213" s="93">
        <v>207</v>
      </c>
      <c r="B213" s="20"/>
      <c r="C213" s="24"/>
      <c r="D213" s="81"/>
      <c r="E213" s="81"/>
      <c r="F213" s="81"/>
      <c r="G213" s="81"/>
      <c r="H213" s="81"/>
      <c r="I213" s="81"/>
      <c r="J213" s="81"/>
      <c r="K213" s="82"/>
    </row>
    <row r="214" spans="1:11" ht="15" x14ac:dyDescent="0.25">
      <c r="A214" s="93">
        <v>208</v>
      </c>
      <c r="B214" s="20"/>
      <c r="C214" s="24" t="str">
        <f>+BALANCE!C843</f>
        <v>INGRESOS</v>
      </c>
      <c r="D214" s="81">
        <f>+BALANCE!D843</f>
        <v>17362.654569999999</v>
      </c>
      <c r="E214" s="81">
        <f>+BALANCE!E843</f>
        <v>17362.654569999999</v>
      </c>
      <c r="F214" s="81">
        <f>+BALANCE!F843</f>
        <v>58698.101289999999</v>
      </c>
      <c r="G214" s="81">
        <f>+BALANCE!G843</f>
        <v>94049.363310000001</v>
      </c>
      <c r="H214" s="81">
        <f>+BALANCE!H843</f>
        <v>168188.19795999999</v>
      </c>
      <c r="I214" s="81">
        <f>+BALANCE!I843</f>
        <v>320935.66255999997</v>
      </c>
      <c r="J214" s="81">
        <f>+BALANCE!J843</f>
        <v>338298.31712999998</v>
      </c>
      <c r="K214" s="82">
        <f>+BALANCE!K843</f>
        <v>13234.160910000001</v>
      </c>
    </row>
    <row r="215" spans="1:11" ht="15" x14ac:dyDescent="0.25">
      <c r="A215" s="93">
        <v>209</v>
      </c>
      <c r="B215" s="20"/>
      <c r="C215" s="24"/>
      <c r="D215" s="81"/>
      <c r="E215" s="81"/>
      <c r="F215" s="81"/>
      <c r="G215" s="81"/>
      <c r="H215" s="81"/>
      <c r="I215" s="81"/>
      <c r="J215" s="81"/>
      <c r="K215" s="82"/>
    </row>
    <row r="216" spans="1:11" ht="15" x14ac:dyDescent="0.25">
      <c r="A216" s="93">
        <v>210</v>
      </c>
      <c r="B216" s="20"/>
      <c r="C216" s="24" t="str">
        <f>+BALANCE!C845</f>
        <v>TOTAL PASIVO, PATRIMONIO E INGRESOS</v>
      </c>
      <c r="D216" s="81">
        <f>+BALANCE!D845</f>
        <v>282910.97265000001</v>
      </c>
      <c r="E216" s="81">
        <f>+BALANCE!E845</f>
        <v>282910.97265000001</v>
      </c>
      <c r="F216" s="81">
        <f>+BALANCE!F845</f>
        <v>1399743.6941</v>
      </c>
      <c r="G216" s="81">
        <f>+BALANCE!G845</f>
        <v>1619597.9889400001</v>
      </c>
      <c r="H216" s="81">
        <f>+BALANCE!H845</f>
        <v>2328725.2620600001</v>
      </c>
      <c r="I216" s="81">
        <f>+BALANCE!I845</f>
        <v>5348066.9451000001</v>
      </c>
      <c r="J216" s="81">
        <f>+BALANCE!J845</f>
        <v>5630977.91775</v>
      </c>
      <c r="K216" s="82">
        <f>+BALANCE!K845</f>
        <v>417096.27497999999</v>
      </c>
    </row>
    <row r="217" spans="1:11" x14ac:dyDescent="0.2">
      <c r="A217" s="93">
        <v>211</v>
      </c>
      <c r="B217" s="20"/>
      <c r="C217" s="21"/>
      <c r="D217" s="22"/>
      <c r="E217" s="22"/>
      <c r="F217" s="22"/>
      <c r="G217" s="22"/>
      <c r="H217" s="22"/>
      <c r="I217" s="22"/>
      <c r="J217" s="22"/>
      <c r="K217" s="79"/>
    </row>
    <row r="218" spans="1:11" x14ac:dyDescent="0.2">
      <c r="A218" s="93">
        <v>212</v>
      </c>
      <c r="B218" s="20">
        <f>+BALANCE!B849</f>
        <v>6</v>
      </c>
      <c r="C218" s="21" t="str">
        <f>+BALANCE!C849</f>
        <v>CUENTAS CONTINGENTES</v>
      </c>
      <c r="D218" s="22">
        <f>+BALANCE!D849</f>
        <v>53809.300040000002</v>
      </c>
      <c r="E218" s="22">
        <f>+BALANCE!E849</f>
        <v>53809.300040000002</v>
      </c>
      <c r="F218" s="22">
        <f>+BALANCE!F849</f>
        <v>237139.88219999999</v>
      </c>
      <c r="G218" s="22">
        <f>+BALANCE!G849</f>
        <v>3293.6251299999999</v>
      </c>
      <c r="H218" s="22">
        <f>+BALANCE!H849</f>
        <v>55988.828780000003</v>
      </c>
      <c r="I218" s="22">
        <f>+BALANCE!I849</f>
        <v>296422.33610999997</v>
      </c>
      <c r="J218" s="22">
        <f>+BALANCE!J849</f>
        <v>350231.63614999998</v>
      </c>
      <c r="K218" s="79">
        <f>+BALANCE!K849</f>
        <v>98284.721919999996</v>
      </c>
    </row>
    <row r="219" spans="1:11" x14ac:dyDescent="0.2">
      <c r="A219" s="93">
        <v>213</v>
      </c>
      <c r="B219" s="20">
        <f>+BALANCE!B850</f>
        <v>61</v>
      </c>
      <c r="C219" s="21" t="str">
        <f>+BALANCE!C850</f>
        <v>DEUDORAS</v>
      </c>
      <c r="D219" s="22">
        <f>+BALANCE!D850</f>
        <v>0</v>
      </c>
      <c r="E219" s="22">
        <f>+BALANCE!E850</f>
        <v>0</v>
      </c>
      <c r="F219" s="22">
        <f>+BALANCE!F850</f>
        <v>0</v>
      </c>
      <c r="G219" s="22">
        <f>+BALANCE!G850</f>
        <v>869.01900000000001</v>
      </c>
      <c r="H219" s="22">
        <f>+BALANCE!H850</f>
        <v>0</v>
      </c>
      <c r="I219" s="22">
        <f>+BALANCE!I850</f>
        <v>869.01900000000001</v>
      </c>
      <c r="J219" s="22">
        <f>+BALANCE!J850</f>
        <v>869.01900000000001</v>
      </c>
      <c r="K219" s="79">
        <f>+BALANCE!K850</f>
        <v>0</v>
      </c>
    </row>
    <row r="220" spans="1:11" x14ac:dyDescent="0.2">
      <c r="A220" s="93">
        <v>214</v>
      </c>
      <c r="B220" s="20">
        <f>+BALANCE!B865</f>
        <v>64</v>
      </c>
      <c r="C220" s="21" t="str">
        <f>+BALANCE!C865</f>
        <v>ACREEDORAS</v>
      </c>
      <c r="D220" s="22">
        <f>+BALANCE!D865</f>
        <v>53809.300040000002</v>
      </c>
      <c r="E220" s="22">
        <f>+BALANCE!E865</f>
        <v>53809.300040000002</v>
      </c>
      <c r="F220" s="22">
        <f>+BALANCE!F865</f>
        <v>237139.88219999999</v>
      </c>
      <c r="G220" s="22">
        <f>+BALANCE!G865</f>
        <v>2424.6061300000001</v>
      </c>
      <c r="H220" s="22">
        <f>+BALANCE!H865</f>
        <v>55988.828780000003</v>
      </c>
      <c r="I220" s="22">
        <f>+BALANCE!I865</f>
        <v>295553.31711</v>
      </c>
      <c r="J220" s="22">
        <f>+BALANCE!J865</f>
        <v>349362.61715000001</v>
      </c>
      <c r="K220" s="79">
        <f>+BALANCE!K865</f>
        <v>98284.721919999996</v>
      </c>
    </row>
    <row r="221" spans="1:11" x14ac:dyDescent="0.2">
      <c r="A221" s="93">
        <v>215</v>
      </c>
      <c r="B221" s="20">
        <f>+BALANCE!B866</f>
        <v>6401</v>
      </c>
      <c r="C221" s="21" t="str">
        <f>+BALANCE!C866</f>
        <v>Avales</v>
      </c>
      <c r="D221" s="22">
        <f>+BALANCE!D866</f>
        <v>0</v>
      </c>
      <c r="E221" s="22">
        <f>+BALANCE!E866</f>
        <v>0</v>
      </c>
      <c r="F221" s="22">
        <f>+BALANCE!F866</f>
        <v>0</v>
      </c>
      <c r="G221" s="22">
        <f>+BALANCE!G866</f>
        <v>0</v>
      </c>
      <c r="H221" s="22">
        <f>+BALANCE!H866</f>
        <v>0</v>
      </c>
      <c r="I221" s="22">
        <f>+BALANCE!I866</f>
        <v>0</v>
      </c>
      <c r="J221" s="22">
        <f>+BALANCE!J866</f>
        <v>0</v>
      </c>
      <c r="K221" s="79">
        <f>+BALANCE!K866</f>
        <v>0</v>
      </c>
    </row>
    <row r="222" spans="1:11" x14ac:dyDescent="0.2">
      <c r="A222" s="93">
        <v>216</v>
      </c>
      <c r="B222" s="20">
        <f>+BALANCE!B869</f>
        <v>6402</v>
      </c>
      <c r="C222" s="21" t="str">
        <f>+BALANCE!C869</f>
        <v>Fianzas y garantías</v>
      </c>
      <c r="D222" s="22">
        <f>+BALANCE!D869</f>
        <v>0</v>
      </c>
      <c r="E222" s="22">
        <f>+BALANCE!E869</f>
        <v>0</v>
      </c>
      <c r="F222" s="22">
        <f>+BALANCE!F869</f>
        <v>0</v>
      </c>
      <c r="G222" s="22">
        <f>+BALANCE!G869</f>
        <v>19.408429999999999</v>
      </c>
      <c r="H222" s="22">
        <f>+BALANCE!H869</f>
        <v>0</v>
      </c>
      <c r="I222" s="22">
        <f>+BALANCE!I869</f>
        <v>19.408429999999999</v>
      </c>
      <c r="J222" s="22">
        <f>+BALANCE!J869</f>
        <v>19.408429999999999</v>
      </c>
      <c r="K222" s="79">
        <f>+BALANCE!K869</f>
        <v>0</v>
      </c>
    </row>
    <row r="223" spans="1:11" x14ac:dyDescent="0.2">
      <c r="A223" s="93">
        <v>217</v>
      </c>
      <c r="B223" s="20">
        <f>+BALANCE!B875</f>
        <v>6403</v>
      </c>
      <c r="C223" s="21" t="str">
        <f>+BALANCE!C875</f>
        <v>Cartas de crédito</v>
      </c>
      <c r="D223" s="22">
        <f>+BALANCE!D875</f>
        <v>0</v>
      </c>
      <c r="E223" s="22">
        <f>+BALANCE!E875</f>
        <v>0</v>
      </c>
      <c r="F223" s="22">
        <f>+BALANCE!F875</f>
        <v>0</v>
      </c>
      <c r="G223" s="22">
        <f>+BALANCE!G875</f>
        <v>0</v>
      </c>
      <c r="H223" s="22">
        <f>+BALANCE!H875</f>
        <v>0</v>
      </c>
      <c r="I223" s="22">
        <f>+BALANCE!I875</f>
        <v>0</v>
      </c>
      <c r="J223" s="22">
        <f>+BALANCE!J875</f>
        <v>0</v>
      </c>
      <c r="K223" s="79">
        <f>+BALANCE!K875</f>
        <v>0</v>
      </c>
    </row>
    <row r="224" spans="1:11" x14ac:dyDescent="0.2">
      <c r="A224" s="93">
        <v>218</v>
      </c>
      <c r="B224" s="20">
        <f>+BALANCE!B879</f>
        <v>6404</v>
      </c>
      <c r="C224" s="21" t="str">
        <f>+BALANCE!C879</f>
        <v>Créditos aprobados no desembolsados</v>
      </c>
      <c r="D224" s="22">
        <f>+BALANCE!D879</f>
        <v>53809.300040000002</v>
      </c>
      <c r="E224" s="22">
        <f>+BALANCE!E879</f>
        <v>53809.300040000002</v>
      </c>
      <c r="F224" s="22">
        <f>+BALANCE!F879</f>
        <v>237139.88219999999</v>
      </c>
      <c r="G224" s="22">
        <f>+BALANCE!G879</f>
        <v>2405.1977000000002</v>
      </c>
      <c r="H224" s="22">
        <f>+BALANCE!H879</f>
        <v>55988.828780000003</v>
      </c>
      <c r="I224" s="22">
        <f>+BALANCE!I879</f>
        <v>295533.90867999999</v>
      </c>
      <c r="J224" s="22">
        <f>+BALANCE!J879</f>
        <v>349343.20872</v>
      </c>
      <c r="K224" s="79">
        <f>+BALANCE!K879</f>
        <v>98284.721919999996</v>
      </c>
    </row>
    <row r="225" spans="1:11" x14ac:dyDescent="0.2">
      <c r="A225" s="93">
        <v>219</v>
      </c>
      <c r="B225" s="20"/>
      <c r="C225" s="21"/>
      <c r="D225" s="22"/>
      <c r="E225" s="22"/>
      <c r="F225" s="22"/>
      <c r="G225" s="22"/>
      <c r="H225" s="22"/>
      <c r="I225" s="22"/>
      <c r="J225" s="22"/>
      <c r="K225" s="79"/>
    </row>
    <row r="226" spans="1:11" x14ac:dyDescent="0.2">
      <c r="A226" s="93">
        <v>220</v>
      </c>
      <c r="B226" s="20">
        <f>+BALANCE!B907</f>
        <v>7</v>
      </c>
      <c r="C226" s="21" t="str">
        <f>+BALANCE!C907</f>
        <v>CUENTAS DE ORDEN</v>
      </c>
      <c r="D226" s="22">
        <f>+BALANCE!D907</f>
        <v>932975.91813999997</v>
      </c>
      <c r="E226" s="22">
        <f>+BALANCE!E907</f>
        <v>932975.91813999997</v>
      </c>
      <c r="F226" s="22">
        <f>+BALANCE!F907</f>
        <v>685626.94169000001</v>
      </c>
      <c r="G226" s="22">
        <f>+BALANCE!G907</f>
        <v>4776244.6157200001</v>
      </c>
      <c r="H226" s="22">
        <f>+BALANCE!H907</f>
        <v>12187248.483890001</v>
      </c>
      <c r="I226" s="22">
        <f>+BALANCE!I907</f>
        <v>17649120.041299999</v>
      </c>
      <c r="J226" s="22">
        <f>+BALANCE!J907</f>
        <v>18582095.95944</v>
      </c>
      <c r="K226" s="79">
        <f>+BALANCE!K907</f>
        <v>60065.430670000002</v>
      </c>
    </row>
    <row r="227" spans="1:11" x14ac:dyDescent="0.2">
      <c r="A227" s="93">
        <v>221</v>
      </c>
      <c r="B227" s="20">
        <f>+BALANCE!B908</f>
        <v>71</v>
      </c>
      <c r="C227" s="21" t="str">
        <f>+BALANCE!C908</f>
        <v>CUENTAS DE ORDEN DEUDORAS</v>
      </c>
      <c r="D227" s="22">
        <f>+BALANCE!D908</f>
        <v>53627.320310000003</v>
      </c>
      <c r="E227" s="22">
        <f>+BALANCE!E908</f>
        <v>53627.320310000003</v>
      </c>
      <c r="F227" s="22">
        <f>+BALANCE!F908</f>
        <v>345901.09976000001</v>
      </c>
      <c r="G227" s="22">
        <f>+BALANCE!G908</f>
        <v>566366.32099000004</v>
      </c>
      <c r="H227" s="22">
        <f>+BALANCE!H908</f>
        <v>1261695.8002599999</v>
      </c>
      <c r="I227" s="22">
        <f>+BALANCE!I908</f>
        <v>2173963.22101</v>
      </c>
      <c r="J227" s="22">
        <f>+BALANCE!J908</f>
        <v>2227590.5413199998</v>
      </c>
      <c r="K227" s="79">
        <f>+BALANCE!K908</f>
        <v>25803.58654</v>
      </c>
    </row>
    <row r="228" spans="1:11" x14ac:dyDescent="0.2">
      <c r="A228" s="93">
        <v>222</v>
      </c>
      <c r="B228" s="25">
        <f>+BALANCE!B1001</f>
        <v>74</v>
      </c>
      <c r="C228" s="26" t="str">
        <f>+BALANCE!C1001</f>
        <v>CUENTAS DE ORDEN ACREEDORAS</v>
      </c>
      <c r="D228" s="27">
        <f>+BALANCE!D1001</f>
        <v>879348.59782999998</v>
      </c>
      <c r="E228" s="27">
        <f>+BALANCE!E1001</f>
        <v>879348.59782999998</v>
      </c>
      <c r="F228" s="27">
        <f>+BALANCE!F1001</f>
        <v>339725.84193</v>
      </c>
      <c r="G228" s="27">
        <f>+BALANCE!G1001</f>
        <v>4209878.2947300002</v>
      </c>
      <c r="H228" s="27">
        <f>+BALANCE!H1001</f>
        <v>10925552.683630001</v>
      </c>
      <c r="I228" s="27">
        <f>+BALANCE!I1001</f>
        <v>15475156.820290001</v>
      </c>
      <c r="J228" s="27">
        <f>+BALANCE!J1001</f>
        <v>16354505.418120001</v>
      </c>
      <c r="K228" s="86">
        <f>+BALANCE!K1001</f>
        <v>34261.844129999998</v>
      </c>
    </row>
    <row r="230" spans="1:11" ht="15" x14ac:dyDescent="0.25">
      <c r="B230" s="13" t="str">
        <f>+CONSCOND!B95</f>
        <v>Elaboración: Dirección Nacional de Estudios / Subdirección de Estadisticas / ACM</v>
      </c>
    </row>
    <row r="231" spans="1:11" x14ac:dyDescent="0.2">
      <c r="B231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16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B2" sqref="B2"/>
    </sheetView>
  </sheetViews>
  <sheetFormatPr baseColWidth="10" defaultRowHeight="14.25" x14ac:dyDescent="0.2"/>
  <cols>
    <col min="1" max="1" width="6.140625" style="93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72" customFormat="1" x14ac:dyDescent="0.2">
      <c r="A1" s="166"/>
      <c r="B1" s="54"/>
      <c r="C1" s="54"/>
    </row>
    <row r="2" spans="1:11" s="72" customFormat="1" ht="15" x14ac:dyDescent="0.25">
      <c r="A2" s="166"/>
      <c r="B2" s="4" t="s">
        <v>745</v>
      </c>
      <c r="C2" s="54"/>
    </row>
    <row r="3" spans="1:11" s="72" customFormat="1" ht="15" x14ac:dyDescent="0.25">
      <c r="A3" s="166"/>
      <c r="B3" s="4" t="str">
        <f>'[1]BAL SAB II'!B3</f>
        <v>SISTEMA DE COOPERATIVAS DE AHORRO Y CRÉDITO</v>
      </c>
      <c r="C3" s="54"/>
    </row>
    <row r="4" spans="1:11" s="72" customFormat="1" ht="15" x14ac:dyDescent="0.25">
      <c r="A4" s="166"/>
      <c r="B4" s="73">
        <f>'[1]BAL SAB II'!B4</f>
        <v>41121</v>
      </c>
      <c r="C4" s="54"/>
    </row>
    <row r="5" spans="1:11" s="72" customFormat="1" ht="15" x14ac:dyDescent="0.25">
      <c r="A5" s="166"/>
      <c r="B5" s="4" t="s">
        <v>2</v>
      </c>
      <c r="C5" s="54"/>
    </row>
    <row r="6" spans="1:11" s="72" customFormat="1" x14ac:dyDescent="0.2">
      <c r="A6" s="166"/>
      <c r="B6" s="54"/>
      <c r="C6" s="54"/>
    </row>
    <row r="7" spans="1:11" s="19" customFormat="1" ht="45" x14ac:dyDescent="0.25">
      <c r="A7" s="167">
        <v>1</v>
      </c>
      <c r="B7" s="16" t="s">
        <v>3</v>
      </c>
      <c r="C7" s="17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746</v>
      </c>
      <c r="J7" s="18" t="s">
        <v>11</v>
      </c>
      <c r="K7" s="58" t="s">
        <v>12</v>
      </c>
    </row>
    <row r="8" spans="1:11" ht="15" x14ac:dyDescent="0.25">
      <c r="A8" s="93">
        <v>2</v>
      </c>
      <c r="B8" s="89">
        <f>BALANCE!B8</f>
        <v>1</v>
      </c>
      <c r="C8" s="90" t="str">
        <f>BALANCE!C8</f>
        <v>ACTIVO</v>
      </c>
      <c r="D8" s="76"/>
      <c r="E8" s="76"/>
      <c r="F8" s="76"/>
      <c r="G8" s="76"/>
      <c r="H8" s="76"/>
      <c r="I8" s="76"/>
      <c r="J8" s="76"/>
      <c r="K8" s="77"/>
    </row>
    <row r="9" spans="1:11" x14ac:dyDescent="0.2">
      <c r="A9" s="93">
        <v>3</v>
      </c>
      <c r="B9" s="20">
        <f>BALANCE!B9</f>
        <v>11</v>
      </c>
      <c r="C9" s="21" t="str">
        <f>BALANCE!C9</f>
        <v>FONDOS DISPONIBLES</v>
      </c>
      <c r="D9" s="22">
        <f>(BALCONS!D9/BALCONS!$D$134)*100</f>
        <v>7.8185726595745644</v>
      </c>
      <c r="E9" s="22">
        <f>(BALCONS!E9/BALCONS!$D$134)*100</f>
        <v>7.8185726595745644</v>
      </c>
      <c r="F9" s="22">
        <f>(BALCONS!F9/BALCONS!$F$134)*100</f>
        <v>12.686529379360465</v>
      </c>
      <c r="G9" s="22">
        <f>(BALCONS!G9/BALCONS!$G$134)*100</f>
        <v>8.6532838546786692</v>
      </c>
      <c r="H9" s="22">
        <f>(BALCONS!H9/BALCONS!$H$134)*100</f>
        <v>1.2791004152943504</v>
      </c>
      <c r="I9" s="22">
        <f>(BALCONS!I9/BALCONS!$I$134)*100</f>
        <v>6.5296738493379562</v>
      </c>
      <c r="J9" s="22">
        <f>(BALCONS!J9/BALCONS!$J$134)*100</f>
        <v>6.5919986135843436</v>
      </c>
      <c r="K9" s="79">
        <f>(BALCONS!K9/BALCONS!$K$134)*100</f>
        <v>29.922554760653732</v>
      </c>
    </row>
    <row r="10" spans="1:11" x14ac:dyDescent="0.2">
      <c r="A10" s="93">
        <v>4</v>
      </c>
      <c r="B10" s="20">
        <f>BALANCE!B10</f>
        <v>1101</v>
      </c>
      <c r="C10" s="21" t="str">
        <f>BALANCE!C10</f>
        <v>Caja</v>
      </c>
      <c r="D10" s="22">
        <f>(BALCONS!D10/BALCONS!$D$134)*100</f>
        <v>5.2548823150431093E-2</v>
      </c>
      <c r="E10" s="22">
        <f>(BALCONS!E10/BALCONS!$D$134)*100</f>
        <v>5.2548823150431093E-2</v>
      </c>
      <c r="F10" s="22">
        <f>(BALCONS!F10/BALCONS!$F$134)*100</f>
        <v>2.0220411778154552E-4</v>
      </c>
      <c r="G10" s="22">
        <f>(BALCONS!G10/BALCONS!$G$134)*100</f>
        <v>1.0587065617845504</v>
      </c>
      <c r="H10" s="22">
        <f>(BALCONS!H10/BALCONS!$H$134)*100</f>
        <v>1.4694804115222531E-3</v>
      </c>
      <c r="I10" s="22">
        <f>(BALCONS!I10/BALCONS!$I$134)*100</f>
        <v>0.31389939995513039</v>
      </c>
      <c r="J10" s="22">
        <f>(BALCONS!J10/BALCONS!$J$134)*100</f>
        <v>0.30126178018572469</v>
      </c>
      <c r="K10" s="79">
        <f>(BALCONS!K10/BALCONS!$K$134)*100</f>
        <v>0</v>
      </c>
    </row>
    <row r="11" spans="1:11" x14ac:dyDescent="0.2">
      <c r="A11" s="93">
        <v>5</v>
      </c>
      <c r="B11" s="20">
        <f>+BALANCE!B13</f>
        <v>1102</v>
      </c>
      <c r="C11" s="21" t="str">
        <f>+BALANCE!C13</f>
        <v>Depósitos para encaje</v>
      </c>
      <c r="D11" s="22">
        <f>(BALCONS!D11/BALCONS!$D$134)*100</f>
        <v>7.6243686384927445</v>
      </c>
      <c r="E11" s="22">
        <f>(BALCONS!E11/BALCONS!$D$134)*100</f>
        <v>7.6243686384927445</v>
      </c>
      <c r="F11" s="22">
        <f>(BALCONS!F11/BALCONS!$F$134)*100</f>
        <v>0</v>
      </c>
      <c r="G11" s="22">
        <f>(BALCONS!G11/BALCONS!$G$134)*100</f>
        <v>5.0484261033941067</v>
      </c>
      <c r="H11" s="22">
        <f>(BALCONS!H11/BALCONS!$H$134)*100</f>
        <v>4.5053122099259006E-4</v>
      </c>
      <c r="I11" s="22">
        <f>(BALCONS!I11/BALCONS!$I$134)*100</f>
        <v>1.493712123233309</v>
      </c>
      <c r="J11" s="22">
        <f>(BALCONS!J11/BALCONS!$J$134)*100</f>
        <v>1.7901603152515533</v>
      </c>
      <c r="K11" s="79">
        <f>(BALCONS!K11/BALCONS!$K$134)*100</f>
        <v>0</v>
      </c>
    </row>
    <row r="12" spans="1:11" x14ac:dyDescent="0.2">
      <c r="A12" s="93">
        <v>6</v>
      </c>
      <c r="B12" s="20">
        <f>+BALANCE!B17</f>
        <v>1103</v>
      </c>
      <c r="C12" s="21" t="str">
        <f>+BALANCE!C17</f>
        <v>Bancos y otras instituciones financieras</v>
      </c>
      <c r="D12" s="22">
        <f>(BALCONS!D12/BALCONS!$D$134)*100</f>
        <v>1.0987213157065898E-2</v>
      </c>
      <c r="E12" s="22">
        <f>(BALCONS!E12/BALCONS!$D$134)*100</f>
        <v>1.0987213157065898E-2</v>
      </c>
      <c r="F12" s="22">
        <f>(BALCONS!F12/BALCONS!$F$134)*100</f>
        <v>12.686327175242686</v>
      </c>
      <c r="G12" s="22">
        <f>(BALCONS!G12/BALCONS!$G$134)*100</f>
        <v>2.4040806303038971</v>
      </c>
      <c r="H12" s="22">
        <f>(BALCONS!H12/BALCONS!$H$134)*100</f>
        <v>0.95632423436978531</v>
      </c>
      <c r="I12" s="22">
        <f>(BALCONS!I12/BALCONS!$I$134)*100</f>
        <v>4.5404196151972487</v>
      </c>
      <c r="J12" s="22">
        <f>(BALCONS!J12/BALCONS!$J$134)*100</f>
        <v>4.3213986925421413</v>
      </c>
      <c r="K12" s="79">
        <f>(BALCONS!K12/BALCONS!$K$134)*100</f>
        <v>29.922554760653732</v>
      </c>
    </row>
    <row r="13" spans="1:11" x14ac:dyDescent="0.2">
      <c r="A13" s="93">
        <v>7</v>
      </c>
      <c r="B13" s="20">
        <f>+BALANCE!B21</f>
        <v>1104</v>
      </c>
      <c r="C13" s="21" t="str">
        <f>+BALANCE!C21</f>
        <v>Efectos de cobro inmediato</v>
      </c>
      <c r="D13" s="22">
        <f>(BALCONS!D13/BALCONS!$D$134)*100</f>
        <v>0.13066798477432282</v>
      </c>
      <c r="E13" s="22">
        <f>(BALCONS!E13/BALCONS!$D$134)*100</f>
        <v>0.13066798477432282</v>
      </c>
      <c r="F13" s="22">
        <f>(BALCONS!F13/BALCONS!$F$134)*100</f>
        <v>0</v>
      </c>
      <c r="G13" s="22">
        <f>(BALCONS!G13/BALCONS!$G$134)*100</f>
        <v>8.7646842017370011E-2</v>
      </c>
      <c r="H13" s="22">
        <f>(BALCONS!H13/BALCONS!$H$134)*100</f>
        <v>0.32085616929205019</v>
      </c>
      <c r="I13" s="22">
        <f>(BALCONS!I13/BALCONS!$I$134)*100</f>
        <v>0.16554210942431519</v>
      </c>
      <c r="J13" s="22">
        <f>(BALCONS!J13/BALCONS!$J$134)*100</f>
        <v>0.16385576944180655</v>
      </c>
      <c r="K13" s="79">
        <f>(BALCONS!K13/BALCONS!$K$134)*100</f>
        <v>0</v>
      </c>
    </row>
    <row r="14" spans="1:11" x14ac:dyDescent="0.2">
      <c r="A14" s="93">
        <v>8</v>
      </c>
      <c r="B14" s="20">
        <f>+BALANCE!B22</f>
        <v>1105</v>
      </c>
      <c r="C14" s="21" t="str">
        <f>+BALANCE!C22</f>
        <v>Remesas en tránsito</v>
      </c>
      <c r="D14" s="22">
        <f>(BALCONS!D14/BALCONS!$D$134)*100</f>
        <v>0</v>
      </c>
      <c r="E14" s="22">
        <f>(BALCONS!E14/BALCONS!$D$134)*100</f>
        <v>0</v>
      </c>
      <c r="F14" s="22">
        <f>(BALCONS!F14/BALCONS!$F$134)*100</f>
        <v>0</v>
      </c>
      <c r="G14" s="22">
        <f>(BALCONS!G14/BALCONS!$G$134)*100</f>
        <v>5.442371717874514E-2</v>
      </c>
      <c r="H14" s="22">
        <f>(BALCONS!H14/BALCONS!$H$134)*100</f>
        <v>0</v>
      </c>
      <c r="I14" s="22">
        <f>(BALCONS!I14/BALCONS!$I$134)*100</f>
        <v>1.6100601527953978E-2</v>
      </c>
      <c r="J14" s="22">
        <f>(BALCONS!J14/BALCONS!$J$134)*100</f>
        <v>1.5322056163116139E-2</v>
      </c>
      <c r="K14" s="79">
        <f>(BALCONS!K14/BALCONS!$K$134)*100</f>
        <v>0</v>
      </c>
    </row>
    <row r="15" spans="1:11" x14ac:dyDescent="0.2">
      <c r="A15" s="93">
        <v>9</v>
      </c>
      <c r="B15" s="20">
        <f>+BALANCE!B25</f>
        <v>12</v>
      </c>
      <c r="C15" s="21" t="str">
        <f>+BALANCE!C25</f>
        <v>OPERACIONES INTERBANCARIAS</v>
      </c>
      <c r="D15" s="22">
        <f>(BALCONS!D15/BALCONS!$D$134)*100</f>
        <v>0</v>
      </c>
      <c r="E15" s="22">
        <f>(BALCONS!E15/BALCONS!$D$134)*100</f>
        <v>0</v>
      </c>
      <c r="F15" s="22">
        <f>(BALCONS!F15/BALCONS!$F$134)*100</f>
        <v>0</v>
      </c>
      <c r="G15" s="22">
        <f>(BALCONS!G15/BALCONS!$G$134)*100</f>
        <v>0</v>
      </c>
      <c r="H15" s="22">
        <f>(BALCONS!H15/BALCONS!$H$134)*100</f>
        <v>0</v>
      </c>
      <c r="I15" s="22">
        <f>(BALCONS!I15/BALCONS!$I$134)*100</f>
        <v>0</v>
      </c>
      <c r="J15" s="22">
        <f>(BALCONS!J15/BALCONS!$J$134)*100</f>
        <v>0</v>
      </c>
      <c r="K15" s="79">
        <f>(BALCONS!K15/BALCONS!$K$134)*100</f>
        <v>0</v>
      </c>
    </row>
    <row r="16" spans="1:11" x14ac:dyDescent="0.2">
      <c r="A16" s="93">
        <v>10</v>
      </c>
      <c r="B16" s="20">
        <f>+BALANCE!B33</f>
        <v>1299</v>
      </c>
      <c r="C16" s="21" t="str">
        <f>+BALANCE!C33</f>
        <v>(Provisión para operaciones interbancarias y de reporto)</v>
      </c>
      <c r="D16" s="22">
        <f>(BALCONS!D16/BALCONS!$D$134)*100</f>
        <v>0</v>
      </c>
      <c r="E16" s="22">
        <f>(BALCONS!E16/BALCONS!$D$134)*100</f>
        <v>0</v>
      </c>
      <c r="F16" s="22">
        <f>(BALCONS!F16/BALCONS!$F$134)*100</f>
        <v>0</v>
      </c>
      <c r="G16" s="22">
        <f>(BALCONS!G16/BALCONS!$G$134)*100</f>
        <v>0</v>
      </c>
      <c r="H16" s="22">
        <f>(BALCONS!H16/BALCONS!$H$134)*100</f>
        <v>0</v>
      </c>
      <c r="I16" s="22">
        <f>(BALCONS!I16/BALCONS!$I$134)*100</f>
        <v>0</v>
      </c>
      <c r="J16" s="22">
        <f>(BALCONS!J16/BALCONS!$J$134)*100</f>
        <v>0</v>
      </c>
      <c r="K16" s="79">
        <f>(BALCONS!K16/BALCONS!$K$134)*100</f>
        <v>0</v>
      </c>
    </row>
    <row r="17" spans="1:11" x14ac:dyDescent="0.2">
      <c r="A17" s="93">
        <v>11</v>
      </c>
      <c r="B17" s="20">
        <f>+BALANCE!B34</f>
        <v>13</v>
      </c>
      <c r="C17" s="21" t="str">
        <f>+BALANCE!C34</f>
        <v>INVERSIONES</v>
      </c>
      <c r="D17" s="22">
        <f>(BALCONS!D17/BALCONS!$D$134)*100</f>
        <v>9.7020889460931734</v>
      </c>
      <c r="E17" s="22">
        <f>(BALCONS!E17/BALCONS!$D$134)*100</f>
        <v>9.7020889460931734</v>
      </c>
      <c r="F17" s="22">
        <f>(BALCONS!F17/BALCONS!$F$134)*100</f>
        <v>13.063194494807535</v>
      </c>
      <c r="G17" s="22">
        <f>(BALCONS!G17/BALCONS!$G$134)*100</f>
        <v>19.142931271373637</v>
      </c>
      <c r="H17" s="22">
        <f>(BALCONS!H17/BALCONS!$H$134)*100</f>
        <v>19.612294311340602</v>
      </c>
      <c r="I17" s="22">
        <f>(BALCONS!I17/BALCONS!$I$134)*100</f>
        <v>17.711494724850763</v>
      </c>
      <c r="J17" s="22">
        <f>(BALCONS!J17/BALCONS!$J$134)*100</f>
        <v>17.324199521418102</v>
      </c>
      <c r="K17" s="79">
        <f>(BALCONS!K17/BALCONS!$K$134)*100</f>
        <v>0</v>
      </c>
    </row>
    <row r="18" spans="1:11" x14ac:dyDescent="0.2">
      <c r="A18" s="93">
        <v>12</v>
      </c>
      <c r="B18" s="20">
        <f>+BALANCE!B35</f>
        <v>1301</v>
      </c>
      <c r="C18" s="21" t="str">
        <f>+BALANCE!C35</f>
        <v>A valor razonable con cambios en el estado de resultados de entidades del sector privado</v>
      </c>
      <c r="D18" s="22">
        <f>(BALCONS!D18/BALCONS!$D$134)*100</f>
        <v>0</v>
      </c>
      <c r="E18" s="22">
        <f>(BALCONS!E18/BALCONS!$D$134)*100</f>
        <v>0</v>
      </c>
      <c r="F18" s="22">
        <f>(BALCONS!F18/BALCONS!$F$134)*100</f>
        <v>0</v>
      </c>
      <c r="G18" s="22">
        <f>(BALCONS!G18/BALCONS!$G$134)*100</f>
        <v>0</v>
      </c>
      <c r="H18" s="22">
        <f>(BALCONS!H18/BALCONS!$H$134)*100</f>
        <v>0</v>
      </c>
      <c r="I18" s="22">
        <f>(BALCONS!I18/BALCONS!$I$134)*100</f>
        <v>0</v>
      </c>
      <c r="J18" s="22">
        <f>(BALCONS!J18/BALCONS!$J$134)*100</f>
        <v>0</v>
      </c>
      <c r="K18" s="79">
        <f>(BALCONS!K18/BALCONS!$K$134)*100</f>
        <v>0</v>
      </c>
    </row>
    <row r="19" spans="1:11" x14ac:dyDescent="0.2">
      <c r="A19" s="93">
        <v>13</v>
      </c>
      <c r="B19" s="20">
        <f>+BALANCE!B41</f>
        <v>1302</v>
      </c>
      <c r="C19" s="21" t="str">
        <f>+BALANCE!C41</f>
        <v>Avalor razonable con cambios en el estado de resultados del Estado o de entidades del sector público</v>
      </c>
      <c r="D19" s="22">
        <f>(BALCONS!D19/BALCONS!$D$134)*100</f>
        <v>0</v>
      </c>
      <c r="E19" s="22">
        <f>(BALCONS!E19/BALCONS!$D$134)*100</f>
        <v>0</v>
      </c>
      <c r="F19" s="22">
        <f>(BALCONS!F19/BALCONS!$F$134)*100</f>
        <v>0</v>
      </c>
      <c r="G19" s="22">
        <f>(BALCONS!G19/BALCONS!$G$134)*100</f>
        <v>0</v>
      </c>
      <c r="H19" s="22">
        <f>(BALCONS!H19/BALCONS!$H$134)*100</f>
        <v>0</v>
      </c>
      <c r="I19" s="22">
        <f>(BALCONS!I19/BALCONS!$I$134)*100</f>
        <v>0</v>
      </c>
      <c r="J19" s="22">
        <f>(BALCONS!J19/BALCONS!$J$134)*100</f>
        <v>0</v>
      </c>
      <c r="K19" s="79">
        <f>(BALCONS!K19/BALCONS!$K$134)*100</f>
        <v>0</v>
      </c>
    </row>
    <row r="20" spans="1:11" x14ac:dyDescent="0.2">
      <c r="A20" s="93">
        <v>14</v>
      </c>
      <c r="B20" s="20">
        <f>+BALANCE!B47</f>
        <v>1303</v>
      </c>
      <c r="C20" s="21" t="str">
        <f>+BALANCE!C47</f>
        <v>Disponibles para la venta de entidades del sector privado</v>
      </c>
      <c r="D20" s="22">
        <f>(BALCONS!D20/BALCONS!$D$134)*100</f>
        <v>7.9496482971814091</v>
      </c>
      <c r="E20" s="22">
        <f>(BALCONS!E20/BALCONS!$D$134)*100</f>
        <v>7.9496482971814091</v>
      </c>
      <c r="F20" s="22">
        <f>(BALCONS!F20/BALCONS!$F$134)*100</f>
        <v>0</v>
      </c>
      <c r="G20" s="22">
        <f>(BALCONS!G20/BALCONS!$G$134)*100</f>
        <v>3.8444557499677416</v>
      </c>
      <c r="H20" s="22">
        <f>(BALCONS!H20/BALCONS!$H$134)*100</f>
        <v>9.4248795994093335</v>
      </c>
      <c r="I20" s="22">
        <f>(BALCONS!I20/BALCONS!$I$134)*100</f>
        <v>5.2383456666779455</v>
      </c>
      <c r="J20" s="22">
        <f>(BALCONS!J20/BALCONS!$J$134)*100</f>
        <v>5.3694508363814633</v>
      </c>
      <c r="K20" s="79">
        <f>(BALCONS!K20/BALCONS!$K$134)*100</f>
        <v>0</v>
      </c>
    </row>
    <row r="21" spans="1:11" x14ac:dyDescent="0.2">
      <c r="A21" s="93">
        <v>15</v>
      </c>
      <c r="B21" s="20">
        <f>+BALANCE!B53</f>
        <v>1304</v>
      </c>
      <c r="C21" s="21" t="str">
        <f>+BALANCE!C53</f>
        <v>Disponibles para la venta del Estado o de entidades del sector público</v>
      </c>
      <c r="D21" s="22">
        <f>(BALCONS!D21/BALCONS!$D$134)*100</f>
        <v>1.7315170099249186</v>
      </c>
      <c r="E21" s="22">
        <f>(BALCONS!E21/BALCONS!$D$134)*100</f>
        <v>1.7315170099249186</v>
      </c>
      <c r="F21" s="22">
        <f>(BALCONS!F21/BALCONS!$F$134)*100</f>
        <v>3.9876449138306529</v>
      </c>
      <c r="G21" s="22">
        <f>(BALCONS!G21/BALCONS!$G$134)*100</f>
        <v>14.146259330515676</v>
      </c>
      <c r="H21" s="22">
        <f>(BALCONS!H21/BALCONS!$H$134)*100</f>
        <v>6.7924282536949914</v>
      </c>
      <c r="I21" s="22">
        <f>(BALCONS!I21/BALCONS!$I$134)*100</f>
        <v>8.213382714106805</v>
      </c>
      <c r="J21" s="22">
        <f>(BALCONS!J21/BALCONS!$J$134)*100</f>
        <v>7.8999517847883869</v>
      </c>
      <c r="K21" s="79">
        <f>(BALCONS!K21/BALCONS!$K$134)*100</f>
        <v>0</v>
      </c>
    </row>
    <row r="22" spans="1:11" x14ac:dyDescent="0.2">
      <c r="A22" s="93">
        <v>16</v>
      </c>
      <c r="B22" s="20">
        <f>+BALANCE!B59</f>
        <v>1305</v>
      </c>
      <c r="C22" s="21" t="str">
        <f>+BALANCE!C59</f>
        <v>Mantenidas hasta el vencimiento de entidades del sector privado</v>
      </c>
      <c r="D22" s="22">
        <f>(BALCONS!D22/BALCONS!$D$134)*100</f>
        <v>2.1135032754094538E-2</v>
      </c>
      <c r="E22" s="22">
        <f>(BALCONS!E22/BALCONS!$D$134)*100</f>
        <v>2.1135032754094538E-2</v>
      </c>
      <c r="F22" s="22">
        <f>(BALCONS!F22/BALCONS!$F$134)*100</f>
        <v>0</v>
      </c>
      <c r="G22" s="22">
        <f>(BALCONS!G22/BALCONS!$G$134)*100</f>
        <v>0</v>
      </c>
      <c r="H22" s="22">
        <f>(BALCONS!H22/BALCONS!$H$134)*100</f>
        <v>0.22581146305152672</v>
      </c>
      <c r="I22" s="22">
        <f>(BALCONS!I22/BALCONS!$I$134)*100</f>
        <v>9.8256428017933217E-2</v>
      </c>
      <c r="J22" s="22">
        <f>(BALCONS!J22/BALCONS!$J$134)*100</f>
        <v>9.4527219223575917E-2</v>
      </c>
      <c r="K22" s="79">
        <f>(BALCONS!K22/BALCONS!$K$134)*100</f>
        <v>0</v>
      </c>
    </row>
    <row r="23" spans="1:11" x14ac:dyDescent="0.2">
      <c r="A23" s="93">
        <v>17</v>
      </c>
      <c r="B23" s="20">
        <f>+BALANCE!B68</f>
        <v>1306</v>
      </c>
      <c r="C23" s="21" t="str">
        <f>+BALANCE!C68</f>
        <v>Mantenidas hasta su vencimiento del Estado o de entidades del sector público</v>
      </c>
      <c r="D23" s="22">
        <f>(BALCONS!D23/BALCONS!$D$134)*100</f>
        <v>0</v>
      </c>
      <c r="E23" s="22">
        <f>(BALCONS!E23/BALCONS!$D$134)*100</f>
        <v>0</v>
      </c>
      <c r="F23" s="22">
        <f>(BALCONS!F23/BALCONS!$F$134)*100</f>
        <v>7.8049712351020002</v>
      </c>
      <c r="G23" s="22">
        <f>(BALCONS!G23/BALCONS!$G$134)*100</f>
        <v>0</v>
      </c>
      <c r="H23" s="22">
        <f>(BALCONS!H23/BALCONS!$H$134)*100</f>
        <v>0</v>
      </c>
      <c r="I23" s="22">
        <f>(BALCONS!I23/BALCONS!$I$134)*100</f>
        <v>2.0998189127288085</v>
      </c>
      <c r="J23" s="22">
        <f>(BALCONS!J23/BALCONS!$J$134)*100</f>
        <v>1.9982820677441357</v>
      </c>
      <c r="K23" s="79">
        <f>(BALCONS!K23/BALCONS!$K$134)*100</f>
        <v>0</v>
      </c>
    </row>
    <row r="24" spans="1:11" x14ac:dyDescent="0.2">
      <c r="A24" s="93">
        <v>18</v>
      </c>
      <c r="B24" s="20">
        <f>+BALANCE!B77</f>
        <v>1307</v>
      </c>
      <c r="C24" s="21" t="str">
        <f>+BALANCE!C77</f>
        <v>De disponibilidad restringida</v>
      </c>
      <c r="D24" s="22">
        <f>(BALCONS!D24/BALCONS!$D$134)*100</f>
        <v>0</v>
      </c>
      <c r="E24" s="22">
        <f>(BALCONS!E24/BALCONS!$D$134)*100</f>
        <v>0</v>
      </c>
      <c r="F24" s="22">
        <f>(BALCONS!F24/BALCONS!$F$134)*100</f>
        <v>1.2705783458748816</v>
      </c>
      <c r="G24" s="22">
        <f>(BALCONS!G24/BALCONS!$G$134)*100</f>
        <v>1.1914182885124718</v>
      </c>
      <c r="H24" s="22">
        <f>(BALCONS!H24/BALCONS!$H$134)*100</f>
        <v>3.171781382912215</v>
      </c>
      <c r="I24" s="22">
        <f>(BALCONS!I24/BALCONS!$I$134)*100</f>
        <v>2.0744225788956716</v>
      </c>
      <c r="J24" s="22">
        <f>(BALCONS!J24/BALCONS!$J$134)*100</f>
        <v>1.9741137748606079</v>
      </c>
      <c r="K24" s="79">
        <f>(BALCONS!K24/BALCONS!$K$134)*100</f>
        <v>0</v>
      </c>
    </row>
    <row r="25" spans="1:11" x14ac:dyDescent="0.2">
      <c r="A25" s="93">
        <v>19</v>
      </c>
      <c r="B25" s="20">
        <f>+BALANCE!B83</f>
        <v>1399</v>
      </c>
      <c r="C25" s="21" t="str">
        <f>+BALANCE!C83</f>
        <v>(Provisión para inversiones)</v>
      </c>
      <c r="D25" s="22">
        <f>(BALCONS!D25/BALCONS!$D$134)*100</f>
        <v>-2.1139376724943636E-4</v>
      </c>
      <c r="E25" s="22">
        <f>(BALCONS!E25/BALCONS!$D$134)*100</f>
        <v>-2.1139376724943636E-4</v>
      </c>
      <c r="F25" s="22">
        <f>(BALCONS!F25/BALCONS!$F$134)*100</f>
        <v>0</v>
      </c>
      <c r="G25" s="22">
        <f>(BALCONS!G25/BALCONS!$G$134)*100</f>
        <v>-3.9202097622252144E-2</v>
      </c>
      <c r="H25" s="22">
        <f>(BALCONS!H25/BALCONS!$H$134)*100</f>
        <v>-2.6063877274614313E-3</v>
      </c>
      <c r="I25" s="22">
        <f>(BALCONS!I25/BALCONS!$I$134)*100</f>
        <v>-1.2731575576404395E-2</v>
      </c>
      <c r="J25" s="22">
        <f>(BALCONS!J25/BALCONS!$J$134)*100</f>
        <v>-1.2126161580068863E-2</v>
      </c>
      <c r="K25" s="79">
        <f>(BALCONS!K25/BALCONS!$K$134)*100</f>
        <v>0</v>
      </c>
    </row>
    <row r="26" spans="1:11" x14ac:dyDescent="0.2">
      <c r="A26" s="93">
        <v>20</v>
      </c>
      <c r="B26" s="20">
        <f>+BALANCE!B84</f>
        <v>139905</v>
      </c>
      <c r="C26" s="21" t="str">
        <f>+BALANCE!C84</f>
        <v>(Provisión para valuación de inversiones)</v>
      </c>
      <c r="D26" s="22">
        <f>(BALCONS!D26/BALCONS!$D$134)*100</f>
        <v>-2.1139376724943636E-4</v>
      </c>
      <c r="E26" s="22">
        <f>(BALCONS!E26/BALCONS!$D$134)*100</f>
        <v>-2.1139376724943636E-4</v>
      </c>
      <c r="F26" s="22">
        <f>(BALCONS!F26/BALCONS!$F$134)*100</f>
        <v>0</v>
      </c>
      <c r="G26" s="22">
        <f>(BALCONS!G26/BALCONS!$G$134)*100</f>
        <v>0</v>
      </c>
      <c r="H26" s="22">
        <f>(BALCONS!H26/BALCONS!$H$134)*100</f>
        <v>-2.6063877274614313E-3</v>
      </c>
      <c r="I26" s="22">
        <f>(BALCONS!I26/BALCONS!$I$134)*100</f>
        <v>-1.1341069433295416E-3</v>
      </c>
      <c r="J26" s="22">
        <f>(BALCONS!J26/BALCONS!$J$134)*100</f>
        <v>-1.0894891031162602E-3</v>
      </c>
      <c r="K26" s="79">
        <f>(BALCONS!K26/BALCONS!$K$134)*100</f>
        <v>0</v>
      </c>
    </row>
    <row r="27" spans="1:11" x14ac:dyDescent="0.2">
      <c r="A27" s="93">
        <v>21</v>
      </c>
      <c r="B27" s="20">
        <f>+BALANCE!B85</f>
        <v>139910</v>
      </c>
      <c r="C27" s="21" t="str">
        <f>+BALANCE!C85</f>
        <v>(Provisión general para inversiones)</v>
      </c>
      <c r="D27" s="22">
        <f>(BALCONS!D27/BALCONS!$D$134)*100</f>
        <v>0</v>
      </c>
      <c r="E27" s="22">
        <f>(BALCONS!E27/BALCONS!$D$134)*100</f>
        <v>0</v>
      </c>
      <c r="F27" s="22">
        <f>(BALCONS!F27/BALCONS!$F$134)*100</f>
        <v>0</v>
      </c>
      <c r="G27" s="22">
        <f>(BALCONS!G27/BALCONS!$G$134)*100</f>
        <v>-3.9202097622252144E-2</v>
      </c>
      <c r="H27" s="22">
        <f>(BALCONS!H27/BALCONS!$H$134)*100</f>
        <v>0</v>
      </c>
      <c r="I27" s="22">
        <f>(BALCONS!I27/BALCONS!$I$134)*100</f>
        <v>-1.1597468633074856E-2</v>
      </c>
      <c r="J27" s="22">
        <f>(BALCONS!J27/BALCONS!$J$134)*100</f>
        <v>-1.1036672476952603E-2</v>
      </c>
      <c r="K27" s="79">
        <f>(BALCONS!K27/BALCONS!$K$134)*100</f>
        <v>0</v>
      </c>
    </row>
    <row r="28" spans="1:11" x14ac:dyDescent="0.2">
      <c r="A28" s="93">
        <v>22</v>
      </c>
      <c r="B28" s="20">
        <f>+BALANCE!B86</f>
        <v>14</v>
      </c>
      <c r="C28" s="21" t="str">
        <f>+BALANCE!C86</f>
        <v>CARTERA DE CREDITOS</v>
      </c>
      <c r="D28" s="22">
        <f>(BALCONS!D28/BALCONS!$D$134)*100</f>
        <v>66.058466159943578</v>
      </c>
      <c r="E28" s="22">
        <f>(BALCONS!E28/BALCONS!$D$134)*100</f>
        <v>66.058466159943578</v>
      </c>
      <c r="F28" s="22">
        <f>(BALCONS!F28/BALCONS!$F$134)*100</f>
        <v>68.002910179746891</v>
      </c>
      <c r="G28" s="22">
        <f>(BALCONS!G28/BALCONS!$G$134)*100</f>
        <v>54.052909895275768</v>
      </c>
      <c r="H28" s="22">
        <f>(BALCONS!H28/BALCONS!$H$134)*100</f>
        <v>50.331295078673975</v>
      </c>
      <c r="I28" s="22">
        <f>(BALCONS!I28/BALCONS!$I$134)*100</f>
        <v>56.186592178932706</v>
      </c>
      <c r="J28" s="22">
        <f>(BALCONS!J28/BALCONS!$J$134)*100</f>
        <v>56.663947122276618</v>
      </c>
      <c r="K28" s="79">
        <f>(BALCONS!K28/BALCONS!$K$134)*100</f>
        <v>66.968626881548175</v>
      </c>
    </row>
    <row r="29" spans="1:11" x14ac:dyDescent="0.2">
      <c r="A29" s="93">
        <v>23</v>
      </c>
      <c r="B29" s="20">
        <f>+BALANCE!B87</f>
        <v>1401</v>
      </c>
      <c r="C29" s="21" t="str">
        <f>+BALANCE!C87</f>
        <v>Cartera de créditos comercial por vencer</v>
      </c>
      <c r="D29" s="22">
        <f>(BALCONS!D29/BALCONS!$D$134)*100</f>
        <v>57.096009134518511</v>
      </c>
      <c r="E29" s="22">
        <f>(BALCONS!E29/BALCONS!$D$134)*100</f>
        <v>57.096009134518511</v>
      </c>
      <c r="F29" s="22">
        <f>(BALCONS!F29/BALCONS!$F$134)*100</f>
        <v>0</v>
      </c>
      <c r="G29" s="22">
        <f>(BALCONS!G29/BALCONS!$G$134)*100</f>
        <v>31.942019916143515</v>
      </c>
      <c r="H29" s="22">
        <f>(BALCONS!H29/BALCONS!$H$134)*100</f>
        <v>48.736480333957076</v>
      </c>
      <c r="I29" s="22">
        <f>(BALCONS!I29/BALCONS!$I$134)*100</f>
        <v>30.656169489161343</v>
      </c>
      <c r="J29" s="22">
        <f>(BALCONS!J29/BALCONS!$J$134)*100</f>
        <v>31.934669212740584</v>
      </c>
      <c r="K29" s="79">
        <f>(BALCONS!K29/BALCONS!$K$134)*100</f>
        <v>0</v>
      </c>
    </row>
    <row r="30" spans="1:11" x14ac:dyDescent="0.2">
      <c r="A30" s="93">
        <v>24</v>
      </c>
      <c r="B30" s="20">
        <f>+BALANCE!B93</f>
        <v>1402</v>
      </c>
      <c r="C30" s="21" t="str">
        <f>+BALANCE!C93</f>
        <v>Cartera de créditos de consumo por vencer</v>
      </c>
      <c r="D30" s="22">
        <f>(BALCONS!D30/BALCONS!$D$134)*100</f>
        <v>0</v>
      </c>
      <c r="E30" s="22">
        <f>(BALCONS!E30/BALCONS!$D$134)*100</f>
        <v>0</v>
      </c>
      <c r="F30" s="22">
        <f>(BALCONS!F30/BALCONS!$F$134)*100</f>
        <v>0</v>
      </c>
      <c r="G30" s="22">
        <f>(BALCONS!G30/BALCONS!$G$134)*100</f>
        <v>1.7745395343526731</v>
      </c>
      <c r="H30" s="22">
        <f>(BALCONS!H30/BALCONS!$H$134)*100</f>
        <v>0</v>
      </c>
      <c r="I30" s="22">
        <f>(BALCONS!I30/BALCONS!$I$134)*100</f>
        <v>0.52497615780958984</v>
      </c>
      <c r="J30" s="22">
        <f>(BALCONS!J30/BALCONS!$J$134)*100</f>
        <v>0.49959091033275399</v>
      </c>
      <c r="K30" s="79">
        <f>(BALCONS!K30/BALCONS!$K$134)*100</f>
        <v>0</v>
      </c>
    </row>
    <row r="31" spans="1:11" x14ac:dyDescent="0.2">
      <c r="A31" s="93">
        <v>25</v>
      </c>
      <c r="B31" s="20">
        <f>+BALANCE!B99</f>
        <v>1403</v>
      </c>
      <c r="C31" s="21" t="str">
        <f>+BALANCE!C99</f>
        <v>Cartera de créditos de vivienda por vencer</v>
      </c>
      <c r="D31" s="22">
        <f>(BALCONS!D31/BALCONS!$D$134)*100</f>
        <v>4.5044065284117369</v>
      </c>
      <c r="E31" s="22">
        <f>(BALCONS!E31/BALCONS!$D$134)*100</f>
        <v>4.5044065284117369</v>
      </c>
      <c r="F31" s="22">
        <f>(BALCONS!F31/BALCONS!$F$134)*100</f>
        <v>0</v>
      </c>
      <c r="G31" s="22">
        <f>(BALCONS!G31/BALCONS!$G$134)*100</f>
        <v>0</v>
      </c>
      <c r="H31" s="22">
        <f>(BALCONS!H31/BALCONS!$H$134)*100</f>
        <v>0</v>
      </c>
      <c r="I31" s="22">
        <f>(BALCONS!I31/BALCONS!$I$134)*100</f>
        <v>0</v>
      </c>
      <c r="J31" s="22">
        <f>(BALCONS!J31/BALCONS!$J$134)*100</f>
        <v>0.21781079532659608</v>
      </c>
      <c r="K31" s="79">
        <f>(BALCONS!K31/BALCONS!$K$134)*100</f>
        <v>0</v>
      </c>
    </row>
    <row r="32" spans="1:11" x14ac:dyDescent="0.2">
      <c r="A32" s="93">
        <v>26</v>
      </c>
      <c r="B32" s="20">
        <f>+BALANCE!B105</f>
        <v>1404</v>
      </c>
      <c r="C32" s="21" t="str">
        <f>+BALANCE!C105</f>
        <v>Cartera de créditos para la microempresa por vencer</v>
      </c>
      <c r="D32" s="22">
        <f>(BALCONS!D32/BALCONS!$D$134)*100</f>
        <v>0</v>
      </c>
      <c r="E32" s="22">
        <f>(BALCONS!E32/BALCONS!$D$134)*100</f>
        <v>0</v>
      </c>
      <c r="F32" s="22">
        <f>(BALCONS!F32/BALCONS!$F$134)*100</f>
        <v>0</v>
      </c>
      <c r="G32" s="22">
        <f>(BALCONS!G32/BALCONS!$G$134)*100</f>
        <v>16.512841250328464</v>
      </c>
      <c r="H32" s="22">
        <f>(BALCONS!H32/BALCONS!$H$134)*100</f>
        <v>1.1999782230800868</v>
      </c>
      <c r="I32" s="22">
        <f>(BALCONS!I32/BALCONS!$I$134)*100</f>
        <v>5.4072669558470832</v>
      </c>
      <c r="J32" s="22">
        <f>(BALCONS!J32/BALCONS!$J$134)*100</f>
        <v>5.1457983009271748</v>
      </c>
      <c r="K32" s="79">
        <f>(BALCONS!K32/BALCONS!$K$134)*100</f>
        <v>0</v>
      </c>
    </row>
    <row r="33" spans="1:11" x14ac:dyDescent="0.2">
      <c r="A33" s="93">
        <v>27</v>
      </c>
      <c r="B33" s="20">
        <f>+BALANCE!B111</f>
        <v>1405</v>
      </c>
      <c r="C33" s="21" t="str">
        <f>+BALANCE!C111</f>
        <v>Cartera de crédito educativo por vencer</v>
      </c>
      <c r="D33" s="22">
        <f>(BALCONS!D33/BALCONS!$D$134)*100</f>
        <v>0</v>
      </c>
      <c r="E33" s="22">
        <f>(BALCONS!E33/BALCONS!$D$134)*100</f>
        <v>0</v>
      </c>
      <c r="F33" s="22">
        <f>(BALCONS!F33/BALCONS!$F$134)*100</f>
        <v>0</v>
      </c>
      <c r="G33" s="22">
        <f>(BALCONS!G33/BALCONS!$G$134)*100</f>
        <v>0</v>
      </c>
      <c r="H33" s="22">
        <f>(BALCONS!H33/BALCONS!$H$134)*100</f>
        <v>0</v>
      </c>
      <c r="I33" s="22">
        <f>(BALCONS!I33/BALCONS!$I$134)*100</f>
        <v>0</v>
      </c>
      <c r="J33" s="22">
        <f>(BALCONS!J33/BALCONS!$J$134)*100</f>
        <v>0</v>
      </c>
      <c r="K33" s="79">
        <f>(BALCONS!K33/BALCONS!$K$134)*100</f>
        <v>63.107380572503367</v>
      </c>
    </row>
    <row r="34" spans="1:11" x14ac:dyDescent="0.2">
      <c r="A34" s="93">
        <v>28</v>
      </c>
      <c r="B34" s="20">
        <f>+BALANCE!B117</f>
        <v>1406</v>
      </c>
      <c r="C34" s="21" t="str">
        <f>+BALANCE!C117</f>
        <v>Cartera de créditos de inversión pública por vencer</v>
      </c>
      <c r="D34" s="22">
        <f>(BALCONS!D34/BALCONS!$D$134)*100</f>
        <v>0</v>
      </c>
      <c r="E34" s="22">
        <f>(BALCONS!E34/BALCONS!$D$134)*100</f>
        <v>0</v>
      </c>
      <c r="F34" s="22">
        <f>(BALCONS!F34/BALCONS!$F$134)*100</f>
        <v>68.799172946532565</v>
      </c>
      <c r="G34" s="22">
        <f>(BALCONS!G34/BALCONS!$G$134)*100</f>
        <v>0</v>
      </c>
      <c r="H34" s="22">
        <f>(BALCONS!H34/BALCONS!$H$134)*100</f>
        <v>0</v>
      </c>
      <c r="I34" s="22">
        <f>(BALCONS!I34/BALCONS!$I$134)*100</f>
        <v>18.509460212167113</v>
      </c>
      <c r="J34" s="22">
        <f>(BALCONS!J34/BALCONS!$J$134)*100</f>
        <v>17.614434369262199</v>
      </c>
      <c r="K34" s="79">
        <f>(BALCONS!K34/BALCONS!$K$134)*100</f>
        <v>0</v>
      </c>
    </row>
    <row r="35" spans="1:11" x14ac:dyDescent="0.2">
      <c r="A35" s="93">
        <v>29</v>
      </c>
      <c r="B35" s="20">
        <f>+BALANCE!B123</f>
        <v>1409</v>
      </c>
      <c r="C35" s="21" t="str">
        <f>+BALANCE!C123</f>
        <v>Cartera de créditos comercial refinanciada por vencer</v>
      </c>
      <c r="D35" s="22">
        <f>(BALCONS!D35/BALCONS!$D$134)*100</f>
        <v>0.29051010852495934</v>
      </c>
      <c r="E35" s="22">
        <f>(BALCONS!E35/BALCONS!$D$134)*100</f>
        <v>0.29051010852495934</v>
      </c>
      <c r="F35" s="22">
        <f>(BALCONS!F35/BALCONS!$F$134)*100</f>
        <v>0</v>
      </c>
      <c r="G35" s="22">
        <f>(BALCONS!G35/BALCONS!$G$134)*100</f>
        <v>0</v>
      </c>
      <c r="H35" s="22">
        <f>(BALCONS!H35/BALCONS!$H$134)*100</f>
        <v>0</v>
      </c>
      <c r="I35" s="22">
        <f>(BALCONS!I35/BALCONS!$I$134)*100</f>
        <v>0</v>
      </c>
      <c r="J35" s="22">
        <f>(BALCONS!J35/BALCONS!$J$134)*100</f>
        <v>1.404763033467773E-2</v>
      </c>
      <c r="K35" s="79">
        <f>(BALCONS!K35/BALCONS!$K$134)*100</f>
        <v>0</v>
      </c>
    </row>
    <row r="36" spans="1:11" x14ac:dyDescent="0.2">
      <c r="A36" s="93">
        <v>30</v>
      </c>
      <c r="B36" s="20">
        <f>+BALANCE!B129</f>
        <v>1410</v>
      </c>
      <c r="C36" s="21" t="str">
        <f>+BALANCE!C129</f>
        <v>Cartera de créditos de consumo refinanciada por vencer</v>
      </c>
      <c r="D36" s="22">
        <f>(BALCONS!D36/BALCONS!$D$134)*100</f>
        <v>0</v>
      </c>
      <c r="E36" s="22">
        <f>(BALCONS!E36/BALCONS!$D$134)*100</f>
        <v>0</v>
      </c>
      <c r="F36" s="22">
        <f>(BALCONS!F36/BALCONS!$F$134)*100</f>
        <v>0</v>
      </c>
      <c r="G36" s="22">
        <f>(BALCONS!G36/BALCONS!$G$134)*100</f>
        <v>0</v>
      </c>
      <c r="H36" s="22">
        <f>(BALCONS!H36/BALCONS!$H$134)*100</f>
        <v>0</v>
      </c>
      <c r="I36" s="22">
        <f>(BALCONS!I36/BALCONS!$I$134)*100</f>
        <v>0</v>
      </c>
      <c r="J36" s="22">
        <f>(BALCONS!J36/BALCONS!$J$134)*100</f>
        <v>0</v>
      </c>
      <c r="K36" s="79">
        <f>(BALCONS!K36/BALCONS!$K$134)*100</f>
        <v>0</v>
      </c>
    </row>
    <row r="37" spans="1:11" x14ac:dyDescent="0.2">
      <c r="A37" s="93">
        <v>31</v>
      </c>
      <c r="B37" s="20">
        <f>+BALANCE!B135</f>
        <v>1411</v>
      </c>
      <c r="C37" s="21" t="str">
        <f>+BALANCE!C135</f>
        <v>Cartera de créditos de vivienda refinanciada por vencer</v>
      </c>
      <c r="D37" s="22">
        <f>(BALCONS!D37/BALCONS!$D$134)*100</f>
        <v>0</v>
      </c>
      <c r="E37" s="22">
        <f>(BALCONS!E37/BALCONS!$D$134)*100</f>
        <v>0</v>
      </c>
      <c r="F37" s="22">
        <f>(BALCONS!F37/BALCONS!$F$134)*100</f>
        <v>0</v>
      </c>
      <c r="G37" s="22">
        <f>(BALCONS!G37/BALCONS!$G$134)*100</f>
        <v>0</v>
      </c>
      <c r="H37" s="22">
        <f>(BALCONS!H37/BALCONS!$H$134)*100</f>
        <v>0</v>
      </c>
      <c r="I37" s="22">
        <f>(BALCONS!I37/BALCONS!$I$134)*100</f>
        <v>0</v>
      </c>
      <c r="J37" s="22">
        <f>(BALCONS!J37/BALCONS!$J$134)*100</f>
        <v>0</v>
      </c>
      <c r="K37" s="79">
        <f>(BALCONS!K37/BALCONS!$K$134)*100</f>
        <v>0</v>
      </c>
    </row>
    <row r="38" spans="1:11" x14ac:dyDescent="0.2">
      <c r="A38" s="93">
        <v>32</v>
      </c>
      <c r="B38" s="20">
        <f>+BALANCE!B141</f>
        <v>1412</v>
      </c>
      <c r="C38" s="21" t="str">
        <f>+BALANCE!C141</f>
        <v>Cartera de créditos para la microempresa refinanciada por vencer</v>
      </c>
      <c r="D38" s="22">
        <f>(BALCONS!D38/BALCONS!$D$134)*100</f>
        <v>0</v>
      </c>
      <c r="E38" s="22">
        <f>(BALCONS!E38/BALCONS!$D$134)*100</f>
        <v>0</v>
      </c>
      <c r="F38" s="22">
        <f>(BALCONS!F38/BALCONS!$F$134)*100</f>
        <v>0</v>
      </c>
      <c r="G38" s="22">
        <f>(BALCONS!G38/BALCONS!$G$134)*100</f>
        <v>0</v>
      </c>
      <c r="H38" s="22">
        <f>(BALCONS!H38/BALCONS!$H$134)*100</f>
        <v>0</v>
      </c>
      <c r="I38" s="22">
        <f>(BALCONS!I38/BALCONS!$I$134)*100</f>
        <v>0</v>
      </c>
      <c r="J38" s="22">
        <f>(BALCONS!J38/BALCONS!$J$134)*100</f>
        <v>0</v>
      </c>
      <c r="K38" s="79">
        <f>(BALCONS!K38/BALCONS!$K$134)*100</f>
        <v>0</v>
      </c>
    </row>
    <row r="39" spans="1:11" x14ac:dyDescent="0.2">
      <c r="A39" s="93">
        <v>33</v>
      </c>
      <c r="B39" s="20">
        <f>+BALANCE!B147</f>
        <v>1413</v>
      </c>
      <c r="C39" s="21" t="str">
        <f>+BALANCE!C147</f>
        <v>Cartera de crédito educativo refinanciada por vencer</v>
      </c>
      <c r="D39" s="22">
        <f>(BALCONS!D39/BALCONS!$D$134)*100</f>
        <v>0</v>
      </c>
      <c r="E39" s="22">
        <f>(BALCONS!E39/BALCONS!$D$134)*100</f>
        <v>0</v>
      </c>
      <c r="F39" s="22">
        <f>(BALCONS!F39/BALCONS!$F$134)*100</f>
        <v>0</v>
      </c>
      <c r="G39" s="22">
        <f>(BALCONS!G39/BALCONS!$G$134)*100</f>
        <v>0</v>
      </c>
      <c r="H39" s="22">
        <f>(BALCONS!H39/BALCONS!$H$134)*100</f>
        <v>0</v>
      </c>
      <c r="I39" s="22">
        <f>(BALCONS!I39/BALCONS!$I$134)*100</f>
        <v>0</v>
      </c>
      <c r="J39" s="22">
        <f>(BALCONS!J39/BALCONS!$J$134)*100</f>
        <v>0</v>
      </c>
      <c r="K39" s="79">
        <f>(BALCONS!K39/BALCONS!$K$134)*100</f>
        <v>0</v>
      </c>
    </row>
    <row r="40" spans="1:11" x14ac:dyDescent="0.2">
      <c r="A40" s="93">
        <v>34</v>
      </c>
      <c r="B40" s="20">
        <f>+BALANCE!B153</f>
        <v>1414</v>
      </c>
      <c r="C40" s="21" t="str">
        <f>+BALANCE!C153</f>
        <v>Cartera de créditos de inversión pública refinanciada por vencer</v>
      </c>
      <c r="D40" s="22">
        <f>(BALCONS!D40/BALCONS!$D$134)*100</f>
        <v>0</v>
      </c>
      <c r="E40" s="22">
        <f>(BALCONS!E40/BALCONS!$D$134)*100</f>
        <v>0</v>
      </c>
      <c r="F40" s="22">
        <f>(BALCONS!F40/BALCONS!$F$134)*100</f>
        <v>0</v>
      </c>
      <c r="G40" s="22">
        <f>(BALCONS!G40/BALCONS!$G$134)*100</f>
        <v>0</v>
      </c>
      <c r="H40" s="22">
        <f>(BALCONS!H40/BALCONS!$H$134)*100</f>
        <v>0</v>
      </c>
      <c r="I40" s="22">
        <f>(BALCONS!I40/BALCONS!$I$134)*100</f>
        <v>0</v>
      </c>
      <c r="J40" s="22">
        <f>(BALCONS!J40/BALCONS!$J$134)*100</f>
        <v>0</v>
      </c>
      <c r="K40" s="79">
        <f>(BALCONS!K40/BALCONS!$K$134)*100</f>
        <v>0</v>
      </c>
    </row>
    <row r="41" spans="1:11" x14ac:dyDescent="0.2">
      <c r="A41" s="93">
        <v>35</v>
      </c>
      <c r="B41" s="20">
        <f>+BALANCE!B159</f>
        <v>1417</v>
      </c>
      <c r="C41" s="21" t="str">
        <f>+BALANCE!C159</f>
        <v>Cartera de créditos comercial reestructurada por vencer</v>
      </c>
      <c r="D41" s="22">
        <f>(BALCONS!D41/BALCONS!$D$134)*100</f>
        <v>0</v>
      </c>
      <c r="E41" s="22">
        <f>(BALCONS!E41/BALCONS!$D$134)*100</f>
        <v>0</v>
      </c>
      <c r="F41" s="22">
        <f>(BALCONS!F41/BALCONS!$F$134)*100</f>
        <v>0</v>
      </c>
      <c r="G41" s="22">
        <f>(BALCONS!G41/BALCONS!$G$134)*100</f>
        <v>0.96204999703079042</v>
      </c>
      <c r="H41" s="22">
        <f>(BALCONS!H41/BALCONS!$H$134)*100</f>
        <v>0.41614894964273647</v>
      </c>
      <c r="I41" s="22">
        <f>(BALCONS!I41/BALCONS!$I$134)*100</f>
        <v>0.4656881178669644</v>
      </c>
      <c r="J41" s="22">
        <f>(BALCONS!J41/BALCONS!$J$134)*100</f>
        <v>0.44316974642625123</v>
      </c>
      <c r="K41" s="79">
        <f>(BALCONS!K41/BALCONS!$K$134)*100</f>
        <v>0</v>
      </c>
    </row>
    <row r="42" spans="1:11" x14ac:dyDescent="0.2">
      <c r="A42" s="93">
        <v>36</v>
      </c>
      <c r="B42" s="20">
        <f>+BALANCE!B165</f>
        <v>1418</v>
      </c>
      <c r="C42" s="21" t="str">
        <f>+BALANCE!C165</f>
        <v>Cartera de créditos de consumo reestructurada por vencer</v>
      </c>
      <c r="D42" s="22">
        <f>(BALCONS!D42/BALCONS!$D$134)*100</f>
        <v>0</v>
      </c>
      <c r="E42" s="22">
        <f>(BALCONS!E42/BALCONS!$D$134)*100</f>
        <v>0</v>
      </c>
      <c r="F42" s="22">
        <f>(BALCONS!F42/BALCONS!$F$134)*100</f>
        <v>0</v>
      </c>
      <c r="G42" s="22">
        <f>(BALCONS!G42/BALCONS!$G$134)*100</f>
        <v>2.8636759436581915E-3</v>
      </c>
      <c r="H42" s="22">
        <f>(BALCONS!H42/BALCONS!$H$134)*100</f>
        <v>0</v>
      </c>
      <c r="I42" s="22">
        <f>(BALCONS!I42/BALCONS!$I$134)*100</f>
        <v>8.471840525445571E-4</v>
      </c>
      <c r="J42" s="22">
        <f>(BALCONS!J42/BALCONS!$J$134)*100</f>
        <v>8.062184267492756E-4</v>
      </c>
      <c r="K42" s="79">
        <f>(BALCONS!K42/BALCONS!$K$134)*100</f>
        <v>0</v>
      </c>
    </row>
    <row r="43" spans="1:11" x14ac:dyDescent="0.2">
      <c r="A43" s="93">
        <v>37</v>
      </c>
      <c r="B43" s="20">
        <f>+BALANCE!B171</f>
        <v>1419</v>
      </c>
      <c r="C43" s="21" t="str">
        <f>+BALANCE!C171</f>
        <v>Cartera de créditos de vivienda reestructurada por vencer</v>
      </c>
      <c r="D43" s="22">
        <f>(BALCONS!D43/BALCONS!$D$134)*100</f>
        <v>1.5593225667231103</v>
      </c>
      <c r="E43" s="22">
        <f>(BALCONS!E43/BALCONS!$D$134)*100</f>
        <v>1.5593225667231103</v>
      </c>
      <c r="F43" s="22">
        <f>(BALCONS!F43/BALCONS!$F$134)*100</f>
        <v>0</v>
      </c>
      <c r="G43" s="22">
        <f>(BALCONS!G43/BALCONS!$G$134)*100</f>
        <v>0</v>
      </c>
      <c r="H43" s="22">
        <f>(BALCONS!H43/BALCONS!$H$134)*100</f>
        <v>0</v>
      </c>
      <c r="I43" s="22">
        <f>(BALCONS!I43/BALCONS!$I$134)*100</f>
        <v>0</v>
      </c>
      <c r="J43" s="22">
        <f>(BALCONS!J43/BALCONS!$J$134)*100</f>
        <v>7.5401118057704844E-2</v>
      </c>
      <c r="K43" s="79">
        <f>(BALCONS!K43/BALCONS!$K$134)*100</f>
        <v>0</v>
      </c>
    </row>
    <row r="44" spans="1:11" x14ac:dyDescent="0.2">
      <c r="A44" s="93">
        <v>38</v>
      </c>
      <c r="B44" s="20">
        <f>+BALANCE!B177</f>
        <v>1420</v>
      </c>
      <c r="C44" s="21" t="str">
        <f>+BALANCE!C177</f>
        <v>Cartera de créditos para la microempresa reestructurada por vencer</v>
      </c>
      <c r="D44" s="22">
        <f>(BALCONS!D44/BALCONS!$D$134)*100</f>
        <v>0</v>
      </c>
      <c r="E44" s="22">
        <f>(BALCONS!E44/BALCONS!$D$134)*100</f>
        <v>0</v>
      </c>
      <c r="F44" s="22">
        <f>(BALCONS!F44/BALCONS!$F$134)*100</f>
        <v>0</v>
      </c>
      <c r="G44" s="22">
        <f>(BALCONS!G44/BALCONS!$G$134)*100</f>
        <v>4.7085807471819771E-2</v>
      </c>
      <c r="H44" s="22">
        <f>(BALCONS!H44/BALCONS!$H$134)*100</f>
        <v>0</v>
      </c>
      <c r="I44" s="22">
        <f>(BALCONS!I44/BALCONS!$I$134)*100</f>
        <v>1.3929769281209694E-2</v>
      </c>
      <c r="J44" s="22">
        <f>(BALCONS!J44/BALCONS!$J$134)*100</f>
        <v>1.3256194614554091E-2</v>
      </c>
      <c r="K44" s="79">
        <f>(BALCONS!K44/BALCONS!$K$134)*100</f>
        <v>0</v>
      </c>
    </row>
    <row r="45" spans="1:11" x14ac:dyDescent="0.2">
      <c r="A45" s="93">
        <v>39</v>
      </c>
      <c r="B45" s="20">
        <f>+BALANCE!B183</f>
        <v>1421</v>
      </c>
      <c r="C45" s="21" t="str">
        <f>+BALANCE!C183</f>
        <v>Cartera de crédito educativo reestructurada por vencer</v>
      </c>
      <c r="D45" s="22">
        <f>(BALCONS!D45/BALCONS!$D$134)*100</f>
        <v>0</v>
      </c>
      <c r="E45" s="22">
        <f>(BALCONS!E45/BALCONS!$D$134)*100</f>
        <v>0</v>
      </c>
      <c r="F45" s="22">
        <f>(BALCONS!F45/BALCONS!$F$134)*100</f>
        <v>0</v>
      </c>
      <c r="G45" s="22">
        <f>(BALCONS!G45/BALCONS!$G$134)*100</f>
        <v>0</v>
      </c>
      <c r="H45" s="22">
        <f>(BALCONS!H45/BALCONS!$H$134)*100</f>
        <v>0</v>
      </c>
      <c r="I45" s="22">
        <f>(BALCONS!I45/BALCONS!$I$134)*100</f>
        <v>0</v>
      </c>
      <c r="J45" s="22">
        <f>(BALCONS!J45/BALCONS!$J$134)*100</f>
        <v>0</v>
      </c>
      <c r="K45" s="79">
        <f>(BALCONS!K45/BALCONS!$K$134)*100</f>
        <v>0</v>
      </c>
    </row>
    <row r="46" spans="1:11" x14ac:dyDescent="0.2">
      <c r="A46" s="93">
        <v>40</v>
      </c>
      <c r="B46" s="20">
        <f>+BALANCE!B189</f>
        <v>1422</v>
      </c>
      <c r="C46" s="21" t="str">
        <f>+BALANCE!C189</f>
        <v>Cartera de créditos de inversión pública reestructurada por vencer</v>
      </c>
      <c r="D46" s="22">
        <f>(BALCONS!D46/BALCONS!$D$134)*100</f>
        <v>0</v>
      </c>
      <c r="E46" s="22">
        <f>(BALCONS!E46/BALCONS!$D$134)*100</f>
        <v>0</v>
      </c>
      <c r="F46" s="22">
        <f>(BALCONS!F46/BALCONS!$F$134)*100</f>
        <v>0</v>
      </c>
      <c r="G46" s="22">
        <f>(BALCONS!G46/BALCONS!$G$134)*100</f>
        <v>0</v>
      </c>
      <c r="H46" s="22">
        <f>(BALCONS!H46/BALCONS!$H$134)*100</f>
        <v>0</v>
      </c>
      <c r="I46" s="22">
        <f>(BALCONS!I46/BALCONS!$I$134)*100</f>
        <v>0</v>
      </c>
      <c r="J46" s="22">
        <f>(BALCONS!J46/BALCONS!$J$134)*100</f>
        <v>0</v>
      </c>
      <c r="K46" s="79">
        <f>(BALCONS!K46/BALCONS!$K$134)*100</f>
        <v>0</v>
      </c>
    </row>
    <row r="47" spans="1:11" x14ac:dyDescent="0.2">
      <c r="A47" s="93">
        <v>41</v>
      </c>
      <c r="B47" s="20">
        <f>+BALANCE!B195</f>
        <v>1425</v>
      </c>
      <c r="C47" s="21" t="str">
        <f>+BALANCE!C195</f>
        <v>Cartera de créditos comercial que no devenga intereses</v>
      </c>
      <c r="D47" s="22">
        <f>(BALCONS!D47/BALCONS!$D$134)*100</f>
        <v>5.1571156961833964</v>
      </c>
      <c r="E47" s="22">
        <f>(BALCONS!E47/BALCONS!$D$134)*100</f>
        <v>5.1571156961833964</v>
      </c>
      <c r="F47" s="22">
        <f>(BALCONS!F47/BALCONS!$F$134)*100</f>
        <v>0</v>
      </c>
      <c r="G47" s="22">
        <f>(BALCONS!G47/BALCONS!$G$134)*100</f>
        <v>3.975997024350169</v>
      </c>
      <c r="H47" s="22">
        <f>(BALCONS!H47/BALCONS!$H$134)*100</f>
        <v>1.034930941518055</v>
      </c>
      <c r="I47" s="22">
        <f>(BALCONS!I47/BALCONS!$I$134)*100</f>
        <v>1.6265761652230097</v>
      </c>
      <c r="J47" s="22">
        <f>(BALCONS!J47/BALCONS!$J$134)*100</f>
        <v>1.7972955748322523</v>
      </c>
      <c r="K47" s="79">
        <f>(BALCONS!K47/BALCONS!$K$134)*100</f>
        <v>0</v>
      </c>
    </row>
    <row r="48" spans="1:11" x14ac:dyDescent="0.2">
      <c r="A48" s="93">
        <v>42</v>
      </c>
      <c r="B48" s="20">
        <f>+BALANCE!B201</f>
        <v>1426</v>
      </c>
      <c r="C48" s="21" t="str">
        <f>+BALANCE!C201</f>
        <v>Cartera de créditos de consumo que no devenga intereses</v>
      </c>
      <c r="D48" s="22">
        <f>(BALCONS!D48/BALCONS!$D$134)*100</f>
        <v>0</v>
      </c>
      <c r="E48" s="22">
        <f>(BALCONS!E48/BALCONS!$D$134)*100</f>
        <v>0</v>
      </c>
      <c r="F48" s="22">
        <f>(BALCONS!F48/BALCONS!$F$134)*100</f>
        <v>0</v>
      </c>
      <c r="G48" s="22">
        <f>(BALCONS!G48/BALCONS!$G$134)*100</f>
        <v>0.2711332494295331</v>
      </c>
      <c r="H48" s="22">
        <f>(BALCONS!H48/BALCONS!$H$134)*100</f>
        <v>0</v>
      </c>
      <c r="I48" s="22">
        <f>(BALCONS!I48/BALCONS!$I$134)*100</f>
        <v>8.021150770916384E-2</v>
      </c>
      <c r="J48" s="22">
        <f>(BALCONS!J48/BALCONS!$J$134)*100</f>
        <v>7.6332876378203879E-2</v>
      </c>
      <c r="K48" s="79">
        <f>(BALCONS!K48/BALCONS!$K$134)*100</f>
        <v>0</v>
      </c>
    </row>
    <row r="49" spans="1:11" x14ac:dyDescent="0.2">
      <c r="A49" s="93">
        <v>43</v>
      </c>
      <c r="B49" s="20">
        <f>+BALANCE!B207</f>
        <v>1427</v>
      </c>
      <c r="C49" s="21" t="str">
        <f>+BALANCE!C207</f>
        <v>Cartera de créditos de vivienda que no devenga intereses</v>
      </c>
      <c r="D49" s="22">
        <f>(BALCONS!D49/BALCONS!$D$134)*100</f>
        <v>0.25165313935512595</v>
      </c>
      <c r="E49" s="22">
        <f>(BALCONS!E49/BALCONS!$D$134)*100</f>
        <v>0.25165313935512595</v>
      </c>
      <c r="F49" s="22">
        <f>(BALCONS!F49/BALCONS!$F$134)*100</f>
        <v>0</v>
      </c>
      <c r="G49" s="22">
        <f>(BALCONS!G49/BALCONS!$G$134)*100</f>
        <v>0</v>
      </c>
      <c r="H49" s="22">
        <f>(BALCONS!H49/BALCONS!$H$134)*100</f>
        <v>0</v>
      </c>
      <c r="I49" s="22">
        <f>(BALCONS!I49/BALCONS!$I$134)*100</f>
        <v>0</v>
      </c>
      <c r="J49" s="22">
        <f>(BALCONS!J49/BALCONS!$J$134)*100</f>
        <v>1.2168699712967912E-2</v>
      </c>
      <c r="K49" s="79">
        <f>(BALCONS!K49/BALCONS!$K$134)*100</f>
        <v>0</v>
      </c>
    </row>
    <row r="50" spans="1:11" x14ac:dyDescent="0.2">
      <c r="A50" s="93">
        <v>44</v>
      </c>
      <c r="B50" s="20">
        <f>+BALANCE!B213</f>
        <v>1428</v>
      </c>
      <c r="C50" s="21" t="str">
        <f>+BALANCE!C213</f>
        <v>Cartera de créditos para la microempresa que no devenga intereses</v>
      </c>
      <c r="D50" s="22">
        <f>(BALCONS!D50/BALCONS!$D$134)*100</f>
        <v>0</v>
      </c>
      <c r="E50" s="22">
        <f>(BALCONS!E50/BALCONS!$D$134)*100</f>
        <v>0</v>
      </c>
      <c r="F50" s="22">
        <f>(BALCONS!F50/BALCONS!$F$134)*100</f>
        <v>0</v>
      </c>
      <c r="G50" s="22">
        <f>(BALCONS!G50/BALCONS!$G$134)*100</f>
        <v>0.85204521008057432</v>
      </c>
      <c r="H50" s="22">
        <f>(BALCONS!H50/BALCONS!$H$134)*100</f>
        <v>0.1808623980965289</v>
      </c>
      <c r="I50" s="22">
        <f>(BALCONS!I50/BALCONS!$I$134)*100</f>
        <v>0.33076524105246818</v>
      </c>
      <c r="J50" s="22">
        <f>(BALCONS!J50/BALCONS!$J$134)*100</f>
        <v>0.31477107183936337</v>
      </c>
      <c r="K50" s="79">
        <f>(BALCONS!K50/BALCONS!$K$134)*100</f>
        <v>0</v>
      </c>
    </row>
    <row r="51" spans="1:11" x14ac:dyDescent="0.2">
      <c r="A51" s="93">
        <v>45</v>
      </c>
      <c r="B51" s="20">
        <f>+BALANCE!B219</f>
        <v>1429</v>
      </c>
      <c r="C51" s="21" t="str">
        <f>+BALANCE!C219</f>
        <v>Cartera de crédito educativo que no devenga intereses</v>
      </c>
      <c r="D51" s="22">
        <f>(BALCONS!D51/BALCONS!$D$134)*100</f>
        <v>0</v>
      </c>
      <c r="E51" s="22">
        <f>(BALCONS!E51/BALCONS!$D$134)*100</f>
        <v>0</v>
      </c>
      <c r="F51" s="22">
        <f>(BALCONS!F51/BALCONS!$F$134)*100</f>
        <v>0</v>
      </c>
      <c r="G51" s="22">
        <f>(BALCONS!G51/BALCONS!$G$134)*100</f>
        <v>0</v>
      </c>
      <c r="H51" s="22">
        <f>(BALCONS!H51/BALCONS!$H$134)*100</f>
        <v>0</v>
      </c>
      <c r="I51" s="22">
        <f>(BALCONS!I51/BALCONS!$I$134)*100</f>
        <v>0</v>
      </c>
      <c r="J51" s="22">
        <f>(BALCONS!J51/BALCONS!$J$134)*100</f>
        <v>0</v>
      </c>
      <c r="K51" s="79">
        <f>(BALCONS!K51/BALCONS!$K$134)*100</f>
        <v>4.3727297105776133</v>
      </c>
    </row>
    <row r="52" spans="1:11" x14ac:dyDescent="0.2">
      <c r="A52" s="93">
        <v>46</v>
      </c>
      <c r="B52" s="20">
        <f>+BALANCE!B225</f>
        <v>1430</v>
      </c>
      <c r="C52" s="21" t="str">
        <f>+BALANCE!C225</f>
        <v>Cartera de créditos de inversión pública que no devenga intereses</v>
      </c>
      <c r="D52" s="22">
        <f>(BALCONS!D52/BALCONS!$D$134)*100</f>
        <v>0</v>
      </c>
      <c r="E52" s="22">
        <f>(BALCONS!E52/BALCONS!$D$134)*100</f>
        <v>0</v>
      </c>
      <c r="F52" s="22">
        <f>(BALCONS!F52/BALCONS!$F$134)*100</f>
        <v>1.3985298603681225E-2</v>
      </c>
      <c r="G52" s="22">
        <f>(BALCONS!G52/BALCONS!$G$134)*100</f>
        <v>0</v>
      </c>
      <c r="H52" s="22">
        <f>(BALCONS!H52/BALCONS!$H$134)*100</f>
        <v>0</v>
      </c>
      <c r="I52" s="22">
        <f>(BALCONS!I52/BALCONS!$I$134)*100</f>
        <v>3.7625499984031458E-3</v>
      </c>
      <c r="J52" s="22">
        <f>(BALCONS!J52/BALCONS!$J$134)*100</f>
        <v>3.5806117114303587E-3</v>
      </c>
      <c r="K52" s="79">
        <f>(BALCONS!K52/BALCONS!$K$134)*100</f>
        <v>0</v>
      </c>
    </row>
    <row r="53" spans="1:11" x14ac:dyDescent="0.2">
      <c r="A53" s="93">
        <v>47</v>
      </c>
      <c r="B53" s="20">
        <f>+BALANCE!B231</f>
        <v>1433</v>
      </c>
      <c r="C53" s="21" t="str">
        <f>+BALANCE!C231</f>
        <v>Cartera de créditos comercial refinanciada que no devenga intereses</v>
      </c>
      <c r="D53" s="22">
        <f>(BALCONS!D53/BALCONS!$D$134)*100</f>
        <v>0</v>
      </c>
      <c r="E53" s="22">
        <f>(BALCONS!E53/BALCONS!$D$134)*100</f>
        <v>0</v>
      </c>
      <c r="F53" s="22">
        <f>(BALCONS!F53/BALCONS!$F$134)*100</f>
        <v>0</v>
      </c>
      <c r="G53" s="22">
        <f>(BALCONS!G53/BALCONS!$G$134)*100</f>
        <v>0</v>
      </c>
      <c r="H53" s="22">
        <f>(BALCONS!H53/BALCONS!$H$134)*100</f>
        <v>0</v>
      </c>
      <c r="I53" s="22">
        <f>(BALCONS!I53/BALCONS!$I$134)*100</f>
        <v>0</v>
      </c>
      <c r="J53" s="22">
        <f>(BALCONS!J53/BALCONS!$J$134)*100</f>
        <v>0</v>
      </c>
      <c r="K53" s="79">
        <f>(BALCONS!K53/BALCONS!$K$134)*100</f>
        <v>0</v>
      </c>
    </row>
    <row r="54" spans="1:11" x14ac:dyDescent="0.2">
      <c r="A54" s="93">
        <v>48</v>
      </c>
      <c r="B54" s="20">
        <f>+BALANCE!B237</f>
        <v>1434</v>
      </c>
      <c r="C54" s="21" t="str">
        <f>+BALANCE!C237</f>
        <v>Cartera de créditos de consumo refinanciada que no devenga intereses</v>
      </c>
      <c r="D54" s="22">
        <f>(BALCONS!D54/BALCONS!$D$134)*100</f>
        <v>0</v>
      </c>
      <c r="E54" s="22">
        <f>(BALCONS!E54/BALCONS!$D$134)*100</f>
        <v>0</v>
      </c>
      <c r="F54" s="22">
        <f>(BALCONS!F54/BALCONS!$F$134)*100</f>
        <v>0</v>
      </c>
      <c r="G54" s="22">
        <f>(BALCONS!G54/BALCONS!$G$134)*100</f>
        <v>0</v>
      </c>
      <c r="H54" s="22">
        <f>(BALCONS!H54/BALCONS!$H$134)*100</f>
        <v>0</v>
      </c>
      <c r="I54" s="22">
        <f>(BALCONS!I54/BALCONS!$I$134)*100</f>
        <v>0</v>
      </c>
      <c r="J54" s="22">
        <f>(BALCONS!J54/BALCONS!$J$134)*100</f>
        <v>0</v>
      </c>
      <c r="K54" s="79">
        <f>(BALCONS!K54/BALCONS!$K$134)*100</f>
        <v>0</v>
      </c>
    </row>
    <row r="55" spans="1:11" x14ac:dyDescent="0.2">
      <c r="A55" s="93">
        <v>49</v>
      </c>
      <c r="B55" s="20">
        <f>+BALANCE!B243</f>
        <v>1435</v>
      </c>
      <c r="C55" s="21" t="str">
        <f>+BALANCE!C243</f>
        <v>Cartera de créditos de vivienda refinanciada que no devenga intereses</v>
      </c>
      <c r="D55" s="22">
        <f>(BALCONS!D55/BALCONS!$D$134)*100</f>
        <v>0</v>
      </c>
      <c r="E55" s="22">
        <f>(BALCONS!E55/BALCONS!$D$134)*100</f>
        <v>0</v>
      </c>
      <c r="F55" s="22">
        <f>(BALCONS!F55/BALCONS!$F$134)*100</f>
        <v>0</v>
      </c>
      <c r="G55" s="22">
        <f>(BALCONS!G55/BALCONS!$G$134)*100</f>
        <v>0</v>
      </c>
      <c r="H55" s="22">
        <f>(BALCONS!H55/BALCONS!$H$134)*100</f>
        <v>0</v>
      </c>
      <c r="I55" s="22">
        <f>(BALCONS!I55/BALCONS!$I$134)*100</f>
        <v>0</v>
      </c>
      <c r="J55" s="22">
        <f>(BALCONS!J55/BALCONS!$J$134)*100</f>
        <v>0</v>
      </c>
      <c r="K55" s="79">
        <f>(BALCONS!K55/BALCONS!$K$134)*100</f>
        <v>0</v>
      </c>
    </row>
    <row r="56" spans="1:11" x14ac:dyDescent="0.2">
      <c r="A56" s="93">
        <v>50</v>
      </c>
      <c r="B56" s="20">
        <f>+BALANCE!B249</f>
        <v>1436</v>
      </c>
      <c r="C56" s="21" t="str">
        <f>+BALANCE!C249</f>
        <v>Cartera de créditos para la microempresa refinanciada que no devenga intereses</v>
      </c>
      <c r="D56" s="22">
        <f>(BALCONS!D56/BALCONS!$D$134)*100</f>
        <v>0</v>
      </c>
      <c r="E56" s="22">
        <f>(BALCONS!E56/BALCONS!$D$134)*100</f>
        <v>0</v>
      </c>
      <c r="F56" s="22">
        <f>(BALCONS!F56/BALCONS!$F$134)*100</f>
        <v>0</v>
      </c>
      <c r="G56" s="22">
        <f>(BALCONS!G56/BALCONS!$G$134)*100</f>
        <v>0</v>
      </c>
      <c r="H56" s="22">
        <f>(BALCONS!H56/BALCONS!$H$134)*100</f>
        <v>0</v>
      </c>
      <c r="I56" s="22">
        <f>(BALCONS!I56/BALCONS!$I$134)*100</f>
        <v>0</v>
      </c>
      <c r="J56" s="22">
        <f>(BALCONS!J56/BALCONS!$J$134)*100</f>
        <v>0</v>
      </c>
      <c r="K56" s="79">
        <f>(BALCONS!K56/BALCONS!$K$134)*100</f>
        <v>0</v>
      </c>
    </row>
    <row r="57" spans="1:11" x14ac:dyDescent="0.2">
      <c r="A57" s="93">
        <v>51</v>
      </c>
      <c r="B57" s="20">
        <f>+BALANCE!B255</f>
        <v>1437</v>
      </c>
      <c r="C57" s="21" t="str">
        <f>+BALANCE!C255</f>
        <v>Cartera de crédito educativo refinanciada que no devenga intereses</v>
      </c>
      <c r="D57" s="22">
        <f>(BALCONS!D57/BALCONS!$D$134)*100</f>
        <v>0</v>
      </c>
      <c r="E57" s="22">
        <f>(BALCONS!E57/BALCONS!$D$134)*100</f>
        <v>0</v>
      </c>
      <c r="F57" s="22">
        <f>(BALCONS!F57/BALCONS!$F$134)*100</f>
        <v>0</v>
      </c>
      <c r="G57" s="22">
        <f>(BALCONS!G57/BALCONS!$G$134)*100</f>
        <v>0</v>
      </c>
      <c r="H57" s="22">
        <f>(BALCONS!H57/BALCONS!$H$134)*100</f>
        <v>0</v>
      </c>
      <c r="I57" s="22">
        <f>(BALCONS!I57/BALCONS!$I$134)*100</f>
        <v>0</v>
      </c>
      <c r="J57" s="22">
        <f>(BALCONS!J57/BALCONS!$J$134)*100</f>
        <v>0</v>
      </c>
      <c r="K57" s="79">
        <f>(BALCONS!K57/BALCONS!$K$134)*100</f>
        <v>0</v>
      </c>
    </row>
    <row r="58" spans="1:11" x14ac:dyDescent="0.2">
      <c r="A58" s="93">
        <v>52</v>
      </c>
      <c r="B58" s="20">
        <f>+BALANCE!B261</f>
        <v>1438</v>
      </c>
      <c r="C58" s="21" t="str">
        <f>+BALANCE!C261</f>
        <v>Cartera de créditos de inversión pública refinanciada que no devenga intereses</v>
      </c>
      <c r="D58" s="22">
        <f>(BALCONS!D58/BALCONS!$D$134)*100</f>
        <v>0</v>
      </c>
      <c r="E58" s="22">
        <f>(BALCONS!E58/BALCONS!$D$134)*100</f>
        <v>0</v>
      </c>
      <c r="F58" s="22">
        <f>(BALCONS!F58/BALCONS!$F$134)*100</f>
        <v>0</v>
      </c>
      <c r="G58" s="22">
        <f>(BALCONS!G58/BALCONS!$G$134)*100</f>
        <v>0</v>
      </c>
      <c r="H58" s="22">
        <f>(BALCONS!H58/BALCONS!$H$134)*100</f>
        <v>0</v>
      </c>
      <c r="I58" s="22">
        <f>(BALCONS!I58/BALCONS!$I$134)*100</f>
        <v>0</v>
      </c>
      <c r="J58" s="22">
        <f>(BALCONS!J58/BALCONS!$J$134)*100</f>
        <v>0</v>
      </c>
      <c r="K58" s="79">
        <f>(BALCONS!K58/BALCONS!$K$134)*100</f>
        <v>0</v>
      </c>
    </row>
    <row r="59" spans="1:11" x14ac:dyDescent="0.2">
      <c r="A59" s="93">
        <v>53</v>
      </c>
      <c r="B59" s="20">
        <f>+BALANCE!B267</f>
        <v>1441</v>
      </c>
      <c r="C59" s="21" t="str">
        <f>+BALANCE!C267</f>
        <v>Cartera de créditos comercial reestructurada que no devenga intereses</v>
      </c>
      <c r="D59" s="22">
        <f>(BALCONS!D59/BALCONS!$D$134)*100</f>
        <v>0</v>
      </c>
      <c r="E59" s="22">
        <f>(BALCONS!E59/BALCONS!$D$134)*100</f>
        <v>0</v>
      </c>
      <c r="F59" s="22">
        <f>(BALCONS!F59/BALCONS!$F$134)*100</f>
        <v>0</v>
      </c>
      <c r="G59" s="22">
        <f>(BALCONS!G59/BALCONS!$G$134)*100</f>
        <v>0.94035378703339179</v>
      </c>
      <c r="H59" s="22">
        <f>(BALCONS!H59/BALCONS!$H$134)*100</f>
        <v>2.7199758828688095E-2</v>
      </c>
      <c r="I59" s="22">
        <f>(BALCONS!I59/BALCONS!$I$134)*100</f>
        <v>0.29002766808535435</v>
      </c>
      <c r="J59" s="22">
        <f>(BALCONS!J59/BALCONS!$J$134)*100</f>
        <v>0.27600336618144444</v>
      </c>
      <c r="K59" s="79">
        <f>(BALCONS!K59/BALCONS!$K$134)*100</f>
        <v>0</v>
      </c>
    </row>
    <row r="60" spans="1:11" x14ac:dyDescent="0.2">
      <c r="A60" s="93">
        <v>54</v>
      </c>
      <c r="B60" s="20">
        <f>+BALANCE!B273</f>
        <v>1442</v>
      </c>
      <c r="C60" s="21" t="str">
        <f>+BALANCE!C273</f>
        <v>Cartera de créditos de consumo reestructurada que no devenga intereses</v>
      </c>
      <c r="D60" s="22">
        <f>(BALCONS!D60/BALCONS!$D$134)*100</f>
        <v>0</v>
      </c>
      <c r="E60" s="22">
        <f>(BALCONS!E60/BALCONS!$D$134)*100</f>
        <v>0</v>
      </c>
      <c r="F60" s="22">
        <f>(BALCONS!F60/BALCONS!$F$134)*100</f>
        <v>0</v>
      </c>
      <c r="G60" s="22">
        <f>(BALCONS!G60/BALCONS!$G$134)*100</f>
        <v>5.6895798330526531E-3</v>
      </c>
      <c r="H60" s="22">
        <f>(BALCONS!H60/BALCONS!$H$134)*100</f>
        <v>0</v>
      </c>
      <c r="I60" s="22">
        <f>(BALCONS!I60/BALCONS!$I$134)*100</f>
        <v>1.6831936975675696E-3</v>
      </c>
      <c r="J60" s="22">
        <f>(BALCONS!J60/BALCONS!$J$134)*100</f>
        <v>1.6018027849926391E-3</v>
      </c>
      <c r="K60" s="79">
        <f>(BALCONS!K60/BALCONS!$K$134)*100</f>
        <v>0</v>
      </c>
    </row>
    <row r="61" spans="1:11" x14ac:dyDescent="0.2">
      <c r="A61" s="93">
        <v>55</v>
      </c>
      <c r="B61" s="20">
        <f>+BALANCE!B279</f>
        <v>1443</v>
      </c>
      <c r="C61" s="21" t="str">
        <f>+BALANCE!C279</f>
        <v>Cartera de créditos de vivienda reestructurada que no devenga intereses</v>
      </c>
      <c r="D61" s="22">
        <f>(BALCONS!D61/BALCONS!$D$134)*100</f>
        <v>8.0114109093118752E-2</v>
      </c>
      <c r="E61" s="22">
        <f>(BALCONS!E61/BALCONS!$D$134)*100</f>
        <v>8.0114109093118752E-2</v>
      </c>
      <c r="F61" s="22">
        <f>(BALCONS!F61/BALCONS!$F$134)*100</f>
        <v>0</v>
      </c>
      <c r="G61" s="22">
        <f>(BALCONS!G61/BALCONS!$G$134)*100</f>
        <v>0</v>
      </c>
      <c r="H61" s="22">
        <f>(BALCONS!H61/BALCONS!$H$134)*100</f>
        <v>0</v>
      </c>
      <c r="I61" s="22">
        <f>(BALCONS!I61/BALCONS!$I$134)*100</f>
        <v>0</v>
      </c>
      <c r="J61" s="22">
        <f>(BALCONS!J61/BALCONS!$J$134)*100</f>
        <v>3.8739216161749685E-3</v>
      </c>
      <c r="K61" s="79">
        <f>(BALCONS!K61/BALCONS!$K$134)*100</f>
        <v>0</v>
      </c>
    </row>
    <row r="62" spans="1:11" x14ac:dyDescent="0.2">
      <c r="A62" s="93">
        <v>56</v>
      </c>
      <c r="B62" s="20">
        <f>+BALANCE!B285</f>
        <v>1444</v>
      </c>
      <c r="C62" s="21" t="str">
        <f>+BALANCE!C285</f>
        <v>Cartera de créditos para la microempresa reestructurada que no devenga intereses</v>
      </c>
      <c r="D62" s="22">
        <f>(BALCONS!D62/BALCONS!$D$134)*100</f>
        <v>0</v>
      </c>
      <c r="E62" s="22">
        <f>(BALCONS!E62/BALCONS!$D$134)*100</f>
        <v>0</v>
      </c>
      <c r="F62" s="22">
        <f>(BALCONS!F62/BALCONS!$F$134)*100</f>
        <v>0</v>
      </c>
      <c r="G62" s="22">
        <f>(BALCONS!G62/BALCONS!$G$134)*100</f>
        <v>1.2139762740651054E-2</v>
      </c>
      <c r="H62" s="22">
        <f>(BALCONS!H62/BALCONS!$H$134)*100</f>
        <v>0</v>
      </c>
      <c r="I62" s="22">
        <f>(BALCONS!I62/BALCONS!$I$134)*100</f>
        <v>3.5914026579474418E-3</v>
      </c>
      <c r="J62" s="22">
        <f>(BALCONS!J62/BALCONS!$J$134)*100</f>
        <v>3.4177402088919379E-3</v>
      </c>
      <c r="K62" s="79">
        <f>(BALCONS!K62/BALCONS!$K$134)*100</f>
        <v>0</v>
      </c>
    </row>
    <row r="63" spans="1:11" x14ac:dyDescent="0.2">
      <c r="A63" s="93">
        <v>57</v>
      </c>
      <c r="B63" s="20">
        <f>+BALANCE!B291</f>
        <v>1445</v>
      </c>
      <c r="C63" s="21" t="str">
        <f>+BALANCE!C291</f>
        <v>Cartera de crédito educativo reestructurada que no devenga intereses</v>
      </c>
      <c r="D63" s="22">
        <f>(BALCONS!D63/BALCONS!$D$134)*100</f>
        <v>0</v>
      </c>
      <c r="E63" s="22">
        <f>(BALCONS!E63/BALCONS!$D$134)*100</f>
        <v>0</v>
      </c>
      <c r="F63" s="22">
        <f>(BALCONS!F63/BALCONS!$F$134)*100</f>
        <v>0</v>
      </c>
      <c r="G63" s="22">
        <f>(BALCONS!G63/BALCONS!$G$134)*100</f>
        <v>0</v>
      </c>
      <c r="H63" s="22">
        <f>(BALCONS!H63/BALCONS!$H$134)*100</f>
        <v>0</v>
      </c>
      <c r="I63" s="22">
        <f>(BALCONS!I63/BALCONS!$I$134)*100</f>
        <v>0</v>
      </c>
      <c r="J63" s="22">
        <f>(BALCONS!J63/BALCONS!$J$134)*100</f>
        <v>0</v>
      </c>
      <c r="K63" s="79">
        <f>(BALCONS!K63/BALCONS!$K$134)*100</f>
        <v>0</v>
      </c>
    </row>
    <row r="64" spans="1:11" x14ac:dyDescent="0.2">
      <c r="A64" s="93">
        <v>58</v>
      </c>
      <c r="B64" s="20">
        <f>+BALANCE!B297</f>
        <v>1446</v>
      </c>
      <c r="C64" s="21" t="str">
        <f>+BALANCE!C297</f>
        <v>Cartera de créditos de inversión pública reestructurada que no devenga intereses</v>
      </c>
      <c r="D64" s="22">
        <f>(BALCONS!D64/BALCONS!$D$134)*100</f>
        <v>0</v>
      </c>
      <c r="E64" s="22">
        <f>(BALCONS!E64/BALCONS!$D$134)*100</f>
        <v>0</v>
      </c>
      <c r="F64" s="22">
        <f>(BALCONS!F64/BALCONS!$F$134)*100</f>
        <v>0</v>
      </c>
      <c r="G64" s="22">
        <f>(BALCONS!G64/BALCONS!$G$134)*100</f>
        <v>0</v>
      </c>
      <c r="H64" s="22">
        <f>(BALCONS!H64/BALCONS!$H$134)*100</f>
        <v>0</v>
      </c>
      <c r="I64" s="22">
        <f>(BALCONS!I64/BALCONS!$I$134)*100</f>
        <v>0</v>
      </c>
      <c r="J64" s="22">
        <f>(BALCONS!J64/BALCONS!$J$134)*100</f>
        <v>0</v>
      </c>
      <c r="K64" s="79">
        <f>(BALCONS!K64/BALCONS!$K$134)*100</f>
        <v>0</v>
      </c>
    </row>
    <row r="65" spans="1:11" x14ac:dyDescent="0.2">
      <c r="A65" s="93">
        <v>59</v>
      </c>
      <c r="B65" s="20">
        <f>+BALANCE!B303</f>
        <v>1449</v>
      </c>
      <c r="C65" s="21" t="str">
        <f>+BALANCE!C303</f>
        <v>Cartera de créditos comercial vencida</v>
      </c>
      <c r="D65" s="22">
        <f>(BALCONS!D65/BALCONS!$D$134)*100</f>
        <v>3.4617723192830496</v>
      </c>
      <c r="E65" s="22">
        <f>(BALCONS!E65/BALCONS!$D$134)*100</f>
        <v>3.4617723192830496</v>
      </c>
      <c r="F65" s="22">
        <f>(BALCONS!F65/BALCONS!$F$134)*100</f>
        <v>0</v>
      </c>
      <c r="G65" s="22">
        <f>(BALCONS!G65/BALCONS!$G$134)*100</f>
        <v>2.7004365893948292</v>
      </c>
      <c r="H65" s="22">
        <f>(BALCONS!H65/BALCONS!$H$134)*100</f>
        <v>2.0128795845393324</v>
      </c>
      <c r="I65" s="22">
        <f>(BALCONS!I65/BALCONS!$I$134)*100</f>
        <v>1.674747801935313</v>
      </c>
      <c r="J65" s="22">
        <f>(BALCONS!J65/BALCONS!$J$134)*100</f>
        <v>1.7611594588176418</v>
      </c>
      <c r="K65" s="79">
        <f>(BALCONS!K65/BALCONS!$K$134)*100</f>
        <v>0</v>
      </c>
    </row>
    <row r="66" spans="1:11" x14ac:dyDescent="0.2">
      <c r="A66" s="93">
        <v>60</v>
      </c>
      <c r="B66" s="20">
        <f>+BALANCE!B309</f>
        <v>1450</v>
      </c>
      <c r="C66" s="21" t="str">
        <f>+BALANCE!C309</f>
        <v>Cartera de créditos de consumo vencida</v>
      </c>
      <c r="D66" s="22">
        <f>(BALCONS!D66/BALCONS!$D$134)*100</f>
        <v>0</v>
      </c>
      <c r="E66" s="22">
        <f>(BALCONS!E66/BALCONS!$D$134)*100</f>
        <v>0</v>
      </c>
      <c r="F66" s="22">
        <f>(BALCONS!F66/BALCONS!$F$134)*100</f>
        <v>0</v>
      </c>
      <c r="G66" s="22">
        <f>(BALCONS!G66/BALCONS!$G$134)*100</f>
        <v>9.3913020277735196E-2</v>
      </c>
      <c r="H66" s="22">
        <f>(BALCONS!H66/BALCONS!$H$134)*100</f>
        <v>0</v>
      </c>
      <c r="I66" s="22">
        <f>(BALCONS!I66/BALCONS!$I$134)*100</f>
        <v>2.7783036443695931E-2</v>
      </c>
      <c r="J66" s="22">
        <f>(BALCONS!J66/BALCONS!$J$134)*100</f>
        <v>2.6439586374032042E-2</v>
      </c>
      <c r="K66" s="79">
        <f>(BALCONS!K66/BALCONS!$K$134)*100</f>
        <v>0</v>
      </c>
    </row>
    <row r="67" spans="1:11" x14ac:dyDescent="0.2">
      <c r="A67" s="93">
        <v>61</v>
      </c>
      <c r="B67" s="20">
        <f>+BALANCE!B315</f>
        <v>1451</v>
      </c>
      <c r="C67" s="21" t="str">
        <f>+BALANCE!C315</f>
        <v>Cartera de créditos de vivienda vencida</v>
      </c>
      <c r="D67" s="22">
        <f>(BALCONS!D67/BALCONS!$D$134)*100</f>
        <v>2.1477283837895544E-2</v>
      </c>
      <c r="E67" s="22">
        <f>(BALCONS!E67/BALCONS!$D$134)*100</f>
        <v>2.1477283837895544E-2</v>
      </c>
      <c r="F67" s="22">
        <f>(BALCONS!F67/BALCONS!$F$134)*100</f>
        <v>0</v>
      </c>
      <c r="G67" s="22">
        <f>(BALCONS!G67/BALCONS!$G$134)*100</f>
        <v>0</v>
      </c>
      <c r="H67" s="22">
        <f>(BALCONS!H67/BALCONS!$H$134)*100</f>
        <v>0</v>
      </c>
      <c r="I67" s="22">
        <f>(BALCONS!I67/BALCONS!$I$134)*100</f>
        <v>0</v>
      </c>
      <c r="J67" s="22">
        <f>(BALCONS!J67/BALCONS!$J$134)*100</f>
        <v>1.03853509772719E-3</v>
      </c>
      <c r="K67" s="79">
        <f>(BALCONS!K67/BALCONS!$K$134)*100</f>
        <v>0</v>
      </c>
    </row>
    <row r="68" spans="1:11" x14ac:dyDescent="0.2">
      <c r="A68" s="93">
        <v>62</v>
      </c>
      <c r="B68" s="20">
        <f>+BALANCE!B322</f>
        <v>1452</v>
      </c>
      <c r="C68" s="21" t="str">
        <f>+BALANCE!C322</f>
        <v>Cartera de créditos para la microempresa vencida</v>
      </c>
      <c r="D68" s="22">
        <f>(BALCONS!D68/BALCONS!$D$134)*100</f>
        <v>0</v>
      </c>
      <c r="E68" s="22">
        <f>(BALCONS!E68/BALCONS!$D$134)*100</f>
        <v>0</v>
      </c>
      <c r="F68" s="22">
        <f>(BALCONS!F68/BALCONS!$F$134)*100</f>
        <v>0</v>
      </c>
      <c r="G68" s="22">
        <f>(BALCONS!G68/BALCONS!$G$134)*100</f>
        <v>0.18347363911483314</v>
      </c>
      <c r="H68" s="22">
        <f>(BALCONS!H68/BALCONS!$H$134)*100</f>
        <v>3.0777525086235366E-2</v>
      </c>
      <c r="I68" s="22">
        <f>(BALCONS!I68/BALCONS!$I$134)*100</f>
        <v>6.7670567247704302E-2</v>
      </c>
      <c r="J68" s="22">
        <f>(BALCONS!J68/BALCONS!$J$134)*100</f>
        <v>6.4398353698715091E-2</v>
      </c>
      <c r="K68" s="79">
        <f>(BALCONS!K68/BALCONS!$K$134)*100</f>
        <v>0</v>
      </c>
    </row>
    <row r="69" spans="1:11" x14ac:dyDescent="0.2">
      <c r="A69" s="93">
        <v>63</v>
      </c>
      <c r="B69" s="20">
        <f>+BALANCE!B328</f>
        <v>1453</v>
      </c>
      <c r="C69" s="21" t="str">
        <f>+BALANCE!C328</f>
        <v>Cartera de crédito educativo vencida</v>
      </c>
      <c r="D69" s="22">
        <f>(BALCONS!D69/BALCONS!$D$134)*100</f>
        <v>0</v>
      </c>
      <c r="E69" s="22">
        <f>(BALCONS!E69/BALCONS!$D$134)*100</f>
        <v>0</v>
      </c>
      <c r="F69" s="22">
        <f>(BALCONS!F69/BALCONS!$F$134)*100</f>
        <v>0</v>
      </c>
      <c r="G69" s="22">
        <f>(BALCONS!G69/BALCONS!$G$134)*100</f>
        <v>0</v>
      </c>
      <c r="H69" s="22">
        <f>(BALCONS!H69/BALCONS!$H$134)*100</f>
        <v>0</v>
      </c>
      <c r="I69" s="22">
        <f>(BALCONS!I69/BALCONS!$I$134)*100</f>
        <v>0</v>
      </c>
      <c r="J69" s="22">
        <f>(BALCONS!J69/BALCONS!$J$134)*100</f>
        <v>0</v>
      </c>
      <c r="K69" s="79">
        <f>(BALCONS!K69/BALCONS!$K$134)*100</f>
        <v>3.0408750271113187</v>
      </c>
    </row>
    <row r="70" spans="1:11" x14ac:dyDescent="0.2">
      <c r="A70" s="93">
        <v>64</v>
      </c>
      <c r="B70" s="20">
        <f>+BALANCE!B334</f>
        <v>1454</v>
      </c>
      <c r="C70" s="21" t="str">
        <f>+BALANCE!C334</f>
        <v>Cartera de créditos de inversión pública vencida</v>
      </c>
      <c r="D70" s="22">
        <f>(BALCONS!D70/BALCONS!$D$134)*100</f>
        <v>0</v>
      </c>
      <c r="E70" s="22">
        <f>(BALCONS!E70/BALCONS!$D$134)*100</f>
        <v>0</v>
      </c>
      <c r="F70" s="22">
        <f>(BALCONS!F70/BALCONS!$F$134)*100</f>
        <v>1.3080914730719383E-3</v>
      </c>
      <c r="G70" s="22">
        <f>(BALCONS!G70/BALCONS!$G$134)*100</f>
        <v>0</v>
      </c>
      <c r="H70" s="22">
        <f>(BALCONS!H70/BALCONS!$H$134)*100</f>
        <v>0</v>
      </c>
      <c r="I70" s="22">
        <f>(BALCONS!I70/BALCONS!$I$134)*100</f>
        <v>3.51923810094586E-4</v>
      </c>
      <c r="J70" s="22">
        <f>(BALCONS!J70/BALCONS!$J$134)*100</f>
        <v>3.3490651725310363E-4</v>
      </c>
      <c r="K70" s="79">
        <f>(BALCONS!K70/BALCONS!$K$134)*100</f>
        <v>0</v>
      </c>
    </row>
    <row r="71" spans="1:11" x14ac:dyDescent="0.2">
      <c r="A71" s="93">
        <v>65</v>
      </c>
      <c r="B71" s="20">
        <f>+BALANCE!B340</f>
        <v>1457</v>
      </c>
      <c r="C71" s="21" t="str">
        <f>+BALANCE!C340</f>
        <v>Cartera de créditos comercial refinanciada vencida</v>
      </c>
      <c r="D71" s="22">
        <f>(BALCONS!D71/BALCONS!$D$134)*100</f>
        <v>0</v>
      </c>
      <c r="E71" s="22">
        <f>(BALCONS!E71/BALCONS!$D$134)*100</f>
        <v>0</v>
      </c>
      <c r="F71" s="22">
        <f>(BALCONS!F71/BALCONS!$F$134)*100</f>
        <v>0</v>
      </c>
      <c r="G71" s="22">
        <f>(BALCONS!G71/BALCONS!$G$134)*100</f>
        <v>0</v>
      </c>
      <c r="H71" s="22">
        <f>(BALCONS!H71/BALCONS!$H$134)*100</f>
        <v>0</v>
      </c>
      <c r="I71" s="22">
        <f>(BALCONS!I71/BALCONS!$I$134)*100</f>
        <v>0</v>
      </c>
      <c r="J71" s="22">
        <f>(BALCONS!J71/BALCONS!$J$134)*100</f>
        <v>0</v>
      </c>
      <c r="K71" s="79">
        <f>(BALCONS!K71/BALCONS!$K$134)*100</f>
        <v>0</v>
      </c>
    </row>
    <row r="72" spans="1:11" x14ac:dyDescent="0.2">
      <c r="A72" s="93">
        <v>66</v>
      </c>
      <c r="B72" s="20">
        <f>+BALANCE!B346</f>
        <v>1458</v>
      </c>
      <c r="C72" s="21" t="str">
        <f>+BALANCE!C346</f>
        <v>Cartera de créditos de consumo refinanciada vencida</v>
      </c>
      <c r="D72" s="22">
        <f>(BALCONS!D72/BALCONS!$D$134)*100</f>
        <v>0</v>
      </c>
      <c r="E72" s="22">
        <f>(BALCONS!E72/BALCONS!$D$134)*100</f>
        <v>0</v>
      </c>
      <c r="F72" s="22">
        <f>(BALCONS!F72/BALCONS!$F$134)*100</f>
        <v>0</v>
      </c>
      <c r="G72" s="22">
        <f>(BALCONS!G72/BALCONS!$G$134)*100</f>
        <v>0</v>
      </c>
      <c r="H72" s="22">
        <f>(BALCONS!H72/BALCONS!$H$134)*100</f>
        <v>0</v>
      </c>
      <c r="I72" s="22">
        <f>(BALCONS!I72/BALCONS!$I$134)*100</f>
        <v>0</v>
      </c>
      <c r="J72" s="22">
        <f>(BALCONS!J72/BALCONS!$J$134)*100</f>
        <v>0</v>
      </c>
      <c r="K72" s="79">
        <f>(BALCONS!K72/BALCONS!$K$134)*100</f>
        <v>0</v>
      </c>
    </row>
    <row r="73" spans="1:11" x14ac:dyDescent="0.2">
      <c r="A73" s="93">
        <v>67</v>
      </c>
      <c r="B73" s="20">
        <f>+BALANCE!B352</f>
        <v>1459</v>
      </c>
      <c r="C73" s="21" t="str">
        <f>+BALANCE!C352</f>
        <v>Cartera de créditos de vivienda refinanciada vencida</v>
      </c>
      <c r="D73" s="22">
        <f>(BALCONS!D73/BALCONS!$D$134)*100</f>
        <v>0</v>
      </c>
      <c r="E73" s="22">
        <f>(BALCONS!E73/BALCONS!$D$134)*100</f>
        <v>0</v>
      </c>
      <c r="F73" s="22">
        <f>(BALCONS!F73/BALCONS!$F$134)*100</f>
        <v>0</v>
      </c>
      <c r="G73" s="22">
        <f>(BALCONS!G73/BALCONS!$G$134)*100</f>
        <v>0</v>
      </c>
      <c r="H73" s="22">
        <f>(BALCONS!H73/BALCONS!$H$134)*100</f>
        <v>0</v>
      </c>
      <c r="I73" s="22">
        <f>(BALCONS!I73/BALCONS!$I$134)*100</f>
        <v>0</v>
      </c>
      <c r="J73" s="22">
        <f>(BALCONS!J73/BALCONS!$J$134)*100</f>
        <v>0</v>
      </c>
      <c r="K73" s="79">
        <f>(BALCONS!K73/BALCONS!$K$134)*100</f>
        <v>0</v>
      </c>
    </row>
    <row r="74" spans="1:11" x14ac:dyDescent="0.2">
      <c r="A74" s="93">
        <v>68</v>
      </c>
      <c r="B74" s="20">
        <f>+BALANCE!B359</f>
        <v>1460</v>
      </c>
      <c r="C74" s="21" t="str">
        <f>+BALANCE!C359</f>
        <v>Cartera de créditos para la microempresa refinanciada vencida</v>
      </c>
      <c r="D74" s="22">
        <f>(BALCONS!D74/BALCONS!$D$134)*100</f>
        <v>0</v>
      </c>
      <c r="E74" s="22">
        <f>(BALCONS!E74/BALCONS!$D$134)*100</f>
        <v>0</v>
      </c>
      <c r="F74" s="22">
        <f>(BALCONS!F74/BALCONS!$F$134)*100</f>
        <v>0</v>
      </c>
      <c r="G74" s="22">
        <f>(BALCONS!G74/BALCONS!$G$134)*100</f>
        <v>0</v>
      </c>
      <c r="H74" s="22">
        <f>(BALCONS!H74/BALCONS!$H$134)*100</f>
        <v>0</v>
      </c>
      <c r="I74" s="22">
        <f>(BALCONS!I74/BALCONS!$I$134)*100</f>
        <v>0</v>
      </c>
      <c r="J74" s="22">
        <f>(BALCONS!J74/BALCONS!$J$134)*100</f>
        <v>0</v>
      </c>
      <c r="K74" s="79">
        <f>(BALCONS!K74/BALCONS!$K$134)*100</f>
        <v>0</v>
      </c>
    </row>
    <row r="75" spans="1:11" x14ac:dyDescent="0.2">
      <c r="A75" s="93">
        <v>69</v>
      </c>
      <c r="B75" s="20">
        <f>+BALANCE!B365</f>
        <v>1461</v>
      </c>
      <c r="C75" s="21" t="str">
        <f>+BALANCE!C365</f>
        <v>Cartera de crédito educativo refinanciada vencida</v>
      </c>
      <c r="D75" s="22">
        <f>(BALCONS!D75/BALCONS!$D$134)*100</f>
        <v>0</v>
      </c>
      <c r="E75" s="22">
        <f>(BALCONS!E75/BALCONS!$D$134)*100</f>
        <v>0</v>
      </c>
      <c r="F75" s="22">
        <f>(BALCONS!F75/BALCONS!$F$134)*100</f>
        <v>0</v>
      </c>
      <c r="G75" s="22">
        <f>(BALCONS!G75/BALCONS!$G$134)*100</f>
        <v>0</v>
      </c>
      <c r="H75" s="22">
        <f>(BALCONS!H75/BALCONS!$H$134)*100</f>
        <v>0</v>
      </c>
      <c r="I75" s="22">
        <f>(BALCONS!I75/BALCONS!$I$134)*100</f>
        <v>0</v>
      </c>
      <c r="J75" s="22">
        <f>(BALCONS!J75/BALCONS!$J$134)*100</f>
        <v>0</v>
      </c>
      <c r="K75" s="79">
        <f>(BALCONS!K75/BALCONS!$K$134)*100</f>
        <v>0</v>
      </c>
    </row>
    <row r="76" spans="1:11" x14ac:dyDescent="0.2">
      <c r="A76" s="93">
        <v>70</v>
      </c>
      <c r="B76" s="20">
        <f>+BALANCE!B371</f>
        <v>1462</v>
      </c>
      <c r="C76" s="21" t="str">
        <f>+BALANCE!C371</f>
        <v>Cartera de créditos de inversión pública refinanciada vencida</v>
      </c>
      <c r="D76" s="22">
        <f>(BALCONS!D76/BALCONS!$D$134)*100</f>
        <v>0</v>
      </c>
      <c r="E76" s="22">
        <f>(BALCONS!E76/BALCONS!$D$134)*100</f>
        <v>0</v>
      </c>
      <c r="F76" s="22">
        <f>(BALCONS!F76/BALCONS!$F$134)*100</f>
        <v>0</v>
      </c>
      <c r="G76" s="22">
        <f>(BALCONS!G76/BALCONS!$G$134)*100</f>
        <v>0</v>
      </c>
      <c r="H76" s="22">
        <f>(BALCONS!H76/BALCONS!$H$134)*100</f>
        <v>0</v>
      </c>
      <c r="I76" s="22">
        <f>(BALCONS!I76/BALCONS!$I$134)*100</f>
        <v>0</v>
      </c>
      <c r="J76" s="22">
        <f>(BALCONS!J76/BALCONS!$J$134)*100</f>
        <v>0</v>
      </c>
      <c r="K76" s="79">
        <f>(BALCONS!K76/BALCONS!$K$134)*100</f>
        <v>0</v>
      </c>
    </row>
    <row r="77" spans="1:11" x14ac:dyDescent="0.2">
      <c r="A77" s="93">
        <v>71</v>
      </c>
      <c r="B77" s="20">
        <f>+BALANCE!B377</f>
        <v>1465</v>
      </c>
      <c r="C77" s="21" t="str">
        <f>+BALANCE!C377</f>
        <v>Cartera de créditos comercial reestructurada vencida</v>
      </c>
      <c r="D77" s="22">
        <f>(BALCONS!D77/BALCONS!$D$134)*100</f>
        <v>0</v>
      </c>
      <c r="E77" s="22">
        <f>(BALCONS!E77/BALCONS!$D$134)*100</f>
        <v>0</v>
      </c>
      <c r="F77" s="22">
        <f>(BALCONS!F77/BALCONS!$F$134)*100</f>
        <v>0</v>
      </c>
      <c r="G77" s="22">
        <f>(BALCONS!G77/BALCONS!$G$134)*100</f>
        <v>0.75245540269709876</v>
      </c>
      <c r="H77" s="22">
        <f>(BALCONS!H77/BALCONS!$H$134)*100</f>
        <v>4.2690090426290656E-2</v>
      </c>
      <c r="I77" s="22">
        <f>(BALCONS!I77/BALCONS!$I$134)*100</f>
        <v>0.24118043845724443</v>
      </c>
      <c r="J77" s="22">
        <f>(BALCONS!J77/BALCONS!$J$134)*100</f>
        <v>0.22951814670221665</v>
      </c>
      <c r="K77" s="79">
        <f>(BALCONS!K77/BALCONS!$K$134)*100</f>
        <v>0</v>
      </c>
    </row>
    <row r="78" spans="1:11" x14ac:dyDescent="0.2">
      <c r="A78" s="93">
        <v>72</v>
      </c>
      <c r="B78" s="20">
        <f>+BALANCE!B383</f>
        <v>1466</v>
      </c>
      <c r="C78" s="21" t="str">
        <f>+BALANCE!C383</f>
        <v>Cartera de créditos de consumo reestructurada vencida</v>
      </c>
      <c r="D78" s="22">
        <f>(BALCONS!D78/BALCONS!$D$134)*100</f>
        <v>0</v>
      </c>
      <c r="E78" s="22">
        <f>(BALCONS!E78/BALCONS!$D$134)*100</f>
        <v>0</v>
      </c>
      <c r="F78" s="22">
        <f>(BALCONS!F78/BALCONS!$F$134)*100</f>
        <v>0</v>
      </c>
      <c r="G78" s="22">
        <f>(BALCONS!G78/BALCONS!$G$134)*100</f>
        <v>5.4826625033319769E-3</v>
      </c>
      <c r="H78" s="22">
        <f>(BALCONS!H78/BALCONS!$H$134)*100</f>
        <v>0</v>
      </c>
      <c r="I78" s="22">
        <f>(BALCONS!I78/BALCONS!$I$134)*100</f>
        <v>1.6219796966179621E-3</v>
      </c>
      <c r="J78" s="22">
        <f>(BALCONS!J78/BALCONS!$J$134)*100</f>
        <v>1.5435487900167062E-3</v>
      </c>
      <c r="K78" s="79">
        <f>(BALCONS!K78/BALCONS!$K$134)*100</f>
        <v>0</v>
      </c>
    </row>
    <row r="79" spans="1:11" x14ac:dyDescent="0.2">
      <c r="A79" s="93">
        <v>73</v>
      </c>
      <c r="B79" s="20">
        <f>+BALANCE!B389</f>
        <v>1467</v>
      </c>
      <c r="C79" s="21" t="str">
        <f>+BALANCE!C389</f>
        <v>Cartera de créditos de vivienda reestructurada vencida</v>
      </c>
      <c r="D79" s="22">
        <f>(BALCONS!D79/BALCONS!$D$134)*100</f>
        <v>1.8736622654314155E-3</v>
      </c>
      <c r="E79" s="22">
        <f>(BALCONS!E79/BALCONS!$D$134)*100</f>
        <v>1.8736622654314155E-3</v>
      </c>
      <c r="F79" s="22">
        <f>(BALCONS!F79/BALCONS!$F$134)*100</f>
        <v>0</v>
      </c>
      <c r="G79" s="22">
        <f>(BALCONS!G79/BALCONS!$G$134)*100</f>
        <v>0</v>
      </c>
      <c r="H79" s="22">
        <f>(BALCONS!H79/BALCONS!$H$134)*100</f>
        <v>0</v>
      </c>
      <c r="I79" s="22">
        <f>(BALCONS!I79/BALCONS!$I$134)*100</f>
        <v>0</v>
      </c>
      <c r="J79" s="22">
        <f>(BALCONS!J79/BALCONS!$J$134)*100</f>
        <v>9.0601029377103433E-5</v>
      </c>
      <c r="K79" s="79">
        <f>(BALCONS!K79/BALCONS!$K$134)*100</f>
        <v>0</v>
      </c>
    </row>
    <row r="80" spans="1:11" x14ac:dyDescent="0.2">
      <c r="A80" s="93">
        <v>74</v>
      </c>
      <c r="B80" s="20">
        <f>+BALANCE!B396</f>
        <v>1468</v>
      </c>
      <c r="C80" s="21" t="str">
        <f>+BALANCE!C396</f>
        <v>Cartera de créditos para la microempresa reestructurada vencida</v>
      </c>
      <c r="D80" s="22">
        <f>(BALCONS!D80/BALCONS!$D$134)*100</f>
        <v>0</v>
      </c>
      <c r="E80" s="22">
        <f>(BALCONS!E80/BALCONS!$D$134)*100</f>
        <v>0</v>
      </c>
      <c r="F80" s="22">
        <f>(BALCONS!F80/BALCONS!$F$134)*100</f>
        <v>0</v>
      </c>
      <c r="G80" s="22">
        <f>(BALCONS!G80/BALCONS!$G$134)*100</f>
        <v>9.2864431287551751E-3</v>
      </c>
      <c r="H80" s="22">
        <f>(BALCONS!H80/BALCONS!$H$134)*100</f>
        <v>0</v>
      </c>
      <c r="I80" s="22">
        <f>(BALCONS!I80/BALCONS!$I$134)*100</f>
        <v>2.7472824014763623E-3</v>
      </c>
      <c r="J80" s="22">
        <f>(BALCONS!J80/BALCONS!$J$134)*100</f>
        <v>2.6144374282089694E-3</v>
      </c>
      <c r="K80" s="79">
        <f>(BALCONS!K80/BALCONS!$K$134)*100</f>
        <v>0</v>
      </c>
    </row>
    <row r="81" spans="1:11" x14ac:dyDescent="0.2">
      <c r="A81" s="93">
        <v>75</v>
      </c>
      <c r="B81" s="20">
        <f>+BALANCE!B402</f>
        <v>1469</v>
      </c>
      <c r="C81" s="21" t="str">
        <f>+BALANCE!C402</f>
        <v>Cartera de crédito educativo reestructurada vencida</v>
      </c>
      <c r="D81" s="22">
        <f>(BALCONS!D81/BALCONS!$D$134)*100</f>
        <v>0</v>
      </c>
      <c r="E81" s="22">
        <f>(BALCONS!E81/BALCONS!$D$134)*100</f>
        <v>0</v>
      </c>
      <c r="F81" s="22">
        <f>(BALCONS!F81/BALCONS!$F$134)*100</f>
        <v>0</v>
      </c>
      <c r="G81" s="22">
        <f>(BALCONS!G81/BALCONS!$G$134)*100</f>
        <v>0</v>
      </c>
      <c r="H81" s="22">
        <f>(BALCONS!H81/BALCONS!$H$134)*100</f>
        <v>0</v>
      </c>
      <c r="I81" s="22">
        <f>(BALCONS!I81/BALCONS!$I$134)*100</f>
        <v>0</v>
      </c>
      <c r="J81" s="22">
        <f>(BALCONS!J81/BALCONS!$J$134)*100</f>
        <v>0</v>
      </c>
      <c r="K81" s="79">
        <f>(BALCONS!K81/BALCONS!$K$134)*100</f>
        <v>0</v>
      </c>
    </row>
    <row r="82" spans="1:11" x14ac:dyDescent="0.2">
      <c r="A82" s="93">
        <v>76</v>
      </c>
      <c r="B82" s="20">
        <f>+BALANCE!B408</f>
        <v>1470</v>
      </c>
      <c r="C82" s="21" t="str">
        <f>+BALANCE!C408</f>
        <v>Cartera de créditos de inversión pública reestructurada vencida</v>
      </c>
      <c r="D82" s="22">
        <f>(BALCONS!D82/BALCONS!$D$134)*100</f>
        <v>0</v>
      </c>
      <c r="E82" s="22">
        <f>(BALCONS!E82/BALCONS!$D$134)*100</f>
        <v>0</v>
      </c>
      <c r="F82" s="22">
        <f>(BALCONS!F82/BALCONS!$F$134)*100</f>
        <v>0</v>
      </c>
      <c r="G82" s="22">
        <f>(BALCONS!G82/BALCONS!$G$134)*100</f>
        <v>0</v>
      </c>
      <c r="H82" s="22">
        <f>(BALCONS!H82/BALCONS!$H$134)*100</f>
        <v>0</v>
      </c>
      <c r="I82" s="22">
        <f>(BALCONS!I82/BALCONS!$I$134)*100</f>
        <v>0</v>
      </c>
      <c r="J82" s="22">
        <f>(BALCONS!J82/BALCONS!$J$134)*100</f>
        <v>0</v>
      </c>
      <c r="K82" s="79">
        <f>(BALCONS!K82/BALCONS!$K$134)*100</f>
        <v>0</v>
      </c>
    </row>
    <row r="83" spans="1:11" x14ac:dyDescent="0.2">
      <c r="A83" s="93">
        <v>77</v>
      </c>
      <c r="B83" s="20">
        <f>+BALANCE!B414</f>
        <v>1499</v>
      </c>
      <c r="C83" s="21" t="str">
        <f>+BALANCE!C414</f>
        <v>(Provisiones para créditos incobrables)</v>
      </c>
      <c r="D83" s="22">
        <f>(BALCONS!D83/BALCONS!$D$134)*100</f>
        <v>-6.3657883882527537</v>
      </c>
      <c r="E83" s="22">
        <f>(BALCONS!E83/BALCONS!$D$134)*100</f>
        <v>-6.3657883882527537</v>
      </c>
      <c r="F83" s="22">
        <f>(BALCONS!F83/BALCONS!$F$134)*100</f>
        <v>-0.81155615686244087</v>
      </c>
      <c r="G83" s="22">
        <f>(BALCONS!G83/BALCONS!$G$134)*100</f>
        <v>-6.990896656579106</v>
      </c>
      <c r="H83" s="22">
        <f>(BALCONS!H83/BALCONS!$H$134)*100</f>
        <v>-3.3506527265010564</v>
      </c>
      <c r="I83" s="22">
        <f>(BALCONS!I83/BALCONS!$I$134)*100</f>
        <v>-3.744466465669205</v>
      </c>
      <c r="J83" s="22">
        <f>(BALCONS!J83/BALCONS!$J$134)*100</f>
        <v>-3.8712206138935406</v>
      </c>
      <c r="K83" s="79">
        <f>(BALCONS!K83/BALCONS!$K$134)*100</f>
        <v>-3.552358428644121</v>
      </c>
    </row>
    <row r="84" spans="1:11" x14ac:dyDescent="0.2">
      <c r="A84" s="93">
        <v>78</v>
      </c>
      <c r="B84" s="20">
        <f>+BALANCE!B415</f>
        <v>149905</v>
      </c>
      <c r="C84" s="21" t="str">
        <f>+BALANCE!C415</f>
        <v>(Cartera de créditos comercial)</v>
      </c>
      <c r="D84" s="22">
        <f>(BALCONS!D84/BALCONS!$D$134)*100</f>
        <v>-5.0672734104541606</v>
      </c>
      <c r="E84" s="22">
        <f>(BALCONS!E84/BALCONS!$D$134)*100</f>
        <v>-5.0672734104541606</v>
      </c>
      <c r="F84" s="22">
        <f>(BALCONS!F84/BALCONS!$F$134)*100</f>
        <v>0</v>
      </c>
      <c r="G84" s="22">
        <f>(BALCONS!G84/BALCONS!$G$134)*100</f>
        <v>-4.1842848384526183</v>
      </c>
      <c r="H84" s="22">
        <f>(BALCONS!H84/BALCONS!$H$134)*100</f>
        <v>-2.059384965922463</v>
      </c>
      <c r="I84" s="22">
        <f>(BALCONS!I84/BALCONS!$I$134)*100</f>
        <v>-2.1339621409669665</v>
      </c>
      <c r="J84" s="22">
        <f>(BALCONS!J84/BALCONS!$J$134)*100</f>
        <v>-2.2758025491356211</v>
      </c>
      <c r="K84" s="79">
        <f>(BALCONS!K84/BALCONS!$K$134)*100</f>
        <v>0</v>
      </c>
    </row>
    <row r="85" spans="1:11" x14ac:dyDescent="0.2">
      <c r="A85" s="93">
        <v>79</v>
      </c>
      <c r="B85" s="20">
        <f>+BALANCE!B416</f>
        <v>149910</v>
      </c>
      <c r="C85" s="21" t="str">
        <f>+BALANCE!C416</f>
        <v>(Cartera de créditos de consumo)</v>
      </c>
      <c r="D85" s="22">
        <f>(BALCONS!D85/BALCONS!$D$134)*100</f>
        <v>0</v>
      </c>
      <c r="E85" s="22">
        <f>(BALCONS!E85/BALCONS!$D$134)*100</f>
        <v>0</v>
      </c>
      <c r="F85" s="22">
        <f>(BALCONS!F85/BALCONS!$F$134)*100</f>
        <v>0</v>
      </c>
      <c r="G85" s="22">
        <f>(BALCONS!G85/BALCONS!$G$134)*100</f>
        <v>-0.20643573487334121</v>
      </c>
      <c r="H85" s="22">
        <f>(BALCONS!H85/BALCONS!$H$134)*100</f>
        <v>0</v>
      </c>
      <c r="I85" s="22">
        <f>(BALCONS!I85/BALCONS!$I$134)*100</f>
        <v>-6.1071526911875229E-2</v>
      </c>
      <c r="J85" s="22">
        <f>(BALCONS!J85/BALCONS!$J$134)*100</f>
        <v>-5.8118410277179414E-2</v>
      </c>
      <c r="K85" s="79">
        <f>(BALCONS!K85/BALCONS!$K$134)*100</f>
        <v>0</v>
      </c>
    </row>
    <row r="86" spans="1:11" x14ac:dyDescent="0.2">
      <c r="A86" s="93">
        <v>80</v>
      </c>
      <c r="B86" s="20">
        <f>+BALANCE!B417</f>
        <v>149915</v>
      </c>
      <c r="C86" s="21" t="str">
        <f>+BALANCE!C417</f>
        <v>(Cartera de créditos de vivienda)</v>
      </c>
      <c r="D86" s="22">
        <f>(BALCONS!D86/BALCONS!$D$134)*100</f>
        <v>-0.16471792733521104</v>
      </c>
      <c r="E86" s="22">
        <f>(BALCONS!E86/BALCONS!$D$134)*100</f>
        <v>-0.16471792733521104</v>
      </c>
      <c r="F86" s="22">
        <f>(BALCONS!F86/BALCONS!$F$134)*100</f>
        <v>0</v>
      </c>
      <c r="G86" s="22">
        <f>(BALCONS!G86/BALCONS!$G$134)*100</f>
        <v>0</v>
      </c>
      <c r="H86" s="22">
        <f>(BALCONS!H86/BALCONS!$H$134)*100</f>
        <v>0</v>
      </c>
      <c r="I86" s="22">
        <f>(BALCONS!I86/BALCONS!$I$134)*100</f>
        <v>0</v>
      </c>
      <c r="J86" s="22">
        <f>(BALCONS!J86/BALCONS!$J$134)*100</f>
        <v>-7.9649433351836486E-3</v>
      </c>
      <c r="K86" s="79">
        <f>(BALCONS!K86/BALCONS!$K$134)*100</f>
        <v>0</v>
      </c>
    </row>
    <row r="87" spans="1:11" x14ac:dyDescent="0.2">
      <c r="A87" s="93">
        <v>81</v>
      </c>
      <c r="B87" s="20">
        <f>+BALANCE!B418</f>
        <v>149920</v>
      </c>
      <c r="C87" s="21" t="str">
        <f>+BALANCE!C418</f>
        <v>(Cartera de créditos para la microempresa)</v>
      </c>
      <c r="D87" s="22">
        <f>(BALCONS!D87/BALCONS!$D$134)*100</f>
        <v>0</v>
      </c>
      <c r="E87" s="22">
        <f>(BALCONS!E87/BALCONS!$D$134)*100</f>
        <v>0</v>
      </c>
      <c r="F87" s="22">
        <f>(BALCONS!F87/BALCONS!$F$134)*100</f>
        <v>0</v>
      </c>
      <c r="G87" s="22">
        <f>(BALCONS!G87/BALCONS!$G$134)*100</f>
        <v>-0.57510547080669361</v>
      </c>
      <c r="H87" s="22">
        <f>(BALCONS!H87/BALCONS!$H$134)*100</f>
        <v>-5.5925075145791883E-2</v>
      </c>
      <c r="I87" s="22">
        <f>(BALCONS!I87/BALCONS!$I$134)*100</f>
        <v>-0.19447248153466104</v>
      </c>
      <c r="J87" s="22">
        <f>(BALCONS!J87/BALCONS!$J$134)*100</f>
        <v>-0.18506875529347366</v>
      </c>
      <c r="K87" s="79">
        <f>(BALCONS!K87/BALCONS!$K$134)*100</f>
        <v>0</v>
      </c>
    </row>
    <row r="88" spans="1:11" x14ac:dyDescent="0.2">
      <c r="A88" s="93">
        <v>82</v>
      </c>
      <c r="B88" s="20">
        <f>+BALANCE!B419</f>
        <v>149925</v>
      </c>
      <c r="C88" s="21" t="str">
        <f>+BALANCE!C419</f>
        <v>(Cartera de crédito educativo)</v>
      </c>
      <c r="D88" s="22">
        <f>(BALCONS!D88/BALCONS!$D$134)*100</f>
        <v>0</v>
      </c>
      <c r="E88" s="22">
        <f>(BALCONS!E88/BALCONS!$D$134)*100</f>
        <v>0</v>
      </c>
      <c r="F88" s="22">
        <f>(BALCONS!F88/BALCONS!$F$134)*100</f>
        <v>0</v>
      </c>
      <c r="G88" s="22">
        <f>(BALCONS!G88/BALCONS!$G$134)*100</f>
        <v>0</v>
      </c>
      <c r="H88" s="22">
        <f>(BALCONS!H88/BALCONS!$H$134)*100</f>
        <v>0</v>
      </c>
      <c r="I88" s="22">
        <f>(BALCONS!I88/BALCONS!$I$134)*100</f>
        <v>0</v>
      </c>
      <c r="J88" s="22">
        <f>(BALCONS!J88/BALCONS!$J$134)*100</f>
        <v>0</v>
      </c>
      <c r="K88" s="79">
        <f>(BALCONS!K88/BALCONS!$K$134)*100</f>
        <v>-2.4555999737774239</v>
      </c>
    </row>
    <row r="89" spans="1:11" x14ac:dyDescent="0.2">
      <c r="A89" s="93">
        <v>83</v>
      </c>
      <c r="B89" s="20">
        <f>+BALANCE!B420</f>
        <v>149930</v>
      </c>
      <c r="C89" s="21" t="str">
        <f>+BALANCE!C420</f>
        <v>(Cartera de créditos de inversión pública)</v>
      </c>
      <c r="D89" s="22">
        <f>(BALCONS!D89/BALCONS!$D$134)*100</f>
        <v>0</v>
      </c>
      <c r="E89" s="22">
        <f>(BALCONS!E89/BALCONS!$D$134)*100</f>
        <v>0</v>
      </c>
      <c r="F89" s="22">
        <f>(BALCONS!F89/BALCONS!$F$134)*100</f>
        <v>-0.68870989774332481</v>
      </c>
      <c r="G89" s="22">
        <f>(BALCONS!G89/BALCONS!$G$134)*100</f>
        <v>0</v>
      </c>
      <c r="H89" s="22">
        <f>(BALCONS!H89/BALCONS!$H$134)*100</f>
        <v>0</v>
      </c>
      <c r="I89" s="22">
        <f>(BALCONS!I89/BALCONS!$I$134)*100</f>
        <v>-0.18528781530430044</v>
      </c>
      <c r="J89" s="22">
        <f>(BALCONS!J89/BALCONS!$J$134)*100</f>
        <v>-0.17632821404246954</v>
      </c>
      <c r="K89" s="79">
        <f>(BALCONS!K89/BALCONS!$K$134)*100</f>
        <v>0</v>
      </c>
    </row>
    <row r="90" spans="1:11" x14ac:dyDescent="0.2">
      <c r="A90" s="93">
        <v>84</v>
      </c>
      <c r="B90" s="20">
        <f>+BALANCE!B421</f>
        <v>149945</v>
      </c>
      <c r="C90" s="21" t="str">
        <f>+BALANCE!C421</f>
        <v>(Cartera de créditos refinanciada)</v>
      </c>
      <c r="D90" s="22">
        <f>(BALCONS!D90/BALCONS!$D$134)*100</f>
        <v>-2.9051016234406721E-3</v>
      </c>
      <c r="E90" s="22">
        <f>(BALCONS!E90/BALCONS!$D$134)*100</f>
        <v>-2.9051016234406721E-3</v>
      </c>
      <c r="F90" s="22">
        <f>(BALCONS!F90/BALCONS!$F$134)*100</f>
        <v>0</v>
      </c>
      <c r="G90" s="22">
        <f>(BALCONS!G90/BALCONS!$G$134)*100</f>
        <v>0</v>
      </c>
      <c r="H90" s="22">
        <f>(BALCONS!H90/BALCONS!$H$134)*100</f>
        <v>0</v>
      </c>
      <c r="I90" s="22">
        <f>(BALCONS!I90/BALCONS!$I$134)*100</f>
        <v>0</v>
      </c>
      <c r="J90" s="22">
        <f>(BALCONS!J90/BALCONS!$J$134)*100</f>
        <v>-1.4047632937103292E-4</v>
      </c>
      <c r="K90" s="79">
        <f>(BALCONS!K90/BALCONS!$K$134)*100</f>
        <v>0</v>
      </c>
    </row>
    <row r="91" spans="1:11" x14ac:dyDescent="0.2">
      <c r="A91" s="93">
        <v>85</v>
      </c>
      <c r="B91" s="20">
        <f>+BALANCE!B422</f>
        <v>149950</v>
      </c>
      <c r="C91" s="21" t="str">
        <f>+BALANCE!C422</f>
        <v>(Cartera de créditos reestructurada)</v>
      </c>
      <c r="D91" s="22">
        <f>(BALCONS!D91/BALCONS!$D$134)*100</f>
        <v>-0.24079585321288996</v>
      </c>
      <c r="E91" s="22">
        <f>(BALCONS!E91/BALCONS!$D$134)*100</f>
        <v>-0.24079585321288996</v>
      </c>
      <c r="F91" s="22">
        <f>(BALCONS!F91/BALCONS!$F$134)*100</f>
        <v>0</v>
      </c>
      <c r="G91" s="22">
        <f>(BALCONS!G91/BALCONS!$G$134)*100</f>
        <v>-2.0250706124464517</v>
      </c>
      <c r="H91" s="22">
        <f>(BALCONS!H91/BALCONS!$H$134)*100</f>
        <v>-6.9333586451318846E-2</v>
      </c>
      <c r="I91" s="22">
        <f>(BALCONS!I91/BALCONS!$I$134)*100</f>
        <v>-0.6292616040227218</v>
      </c>
      <c r="J91" s="22">
        <f>(BALCONS!J91/BALCONS!$J$134)*100</f>
        <v>-0.61047732387230946</v>
      </c>
      <c r="K91" s="79">
        <f>(BALCONS!K91/BALCONS!$K$134)*100</f>
        <v>0</v>
      </c>
    </row>
    <row r="92" spans="1:11" x14ac:dyDescent="0.2">
      <c r="A92" s="93">
        <v>86</v>
      </c>
      <c r="B92" s="20">
        <f>+BALANCE!B423</f>
        <v>149990</v>
      </c>
      <c r="C92" s="21" t="str">
        <f>+BALANCE!C423</f>
        <v>(Provisión general para cartera de créditos)</v>
      </c>
      <c r="D92" s="22">
        <f>(BALCONS!D92/BALCONS!$D$134)*100</f>
        <v>-0.89009609562705294</v>
      </c>
      <c r="E92" s="22">
        <f>(BALCONS!E92/BALCONS!$D$134)*100</f>
        <v>-0.89009609562705294</v>
      </c>
      <c r="F92" s="22">
        <f>(BALCONS!F92/BALCONS!$F$134)*100</f>
        <v>-0.12284625911911598</v>
      </c>
      <c r="G92" s="22">
        <f>(BALCONS!G92/BALCONS!$G$134)*100</f>
        <v>0</v>
      </c>
      <c r="H92" s="22">
        <f>(BALCONS!H92/BALCONS!$H$134)*100</f>
        <v>-1.166009098981482</v>
      </c>
      <c r="I92" s="22">
        <f>(BALCONS!I92/BALCONS!$I$134)*100</f>
        <v>-0.54041089692867972</v>
      </c>
      <c r="J92" s="22">
        <f>(BALCONS!J92/BALCONS!$J$134)*100</f>
        <v>-0.55731994160793241</v>
      </c>
      <c r="K92" s="79">
        <f>(BALCONS!K92/BALCONS!$K$134)*100</f>
        <v>-1.0967584548666967</v>
      </c>
    </row>
    <row r="93" spans="1:11" x14ac:dyDescent="0.2">
      <c r="A93" s="93">
        <v>87</v>
      </c>
      <c r="B93" s="20">
        <f>+BALANCE!B424</f>
        <v>15</v>
      </c>
      <c r="C93" s="21" t="str">
        <f>+BALANCE!C424</f>
        <v>DEUDORES POR ACEPTACIONES</v>
      </c>
      <c r="D93" s="22">
        <f>(BALCONS!D93/BALCONS!$D$134)*100</f>
        <v>0</v>
      </c>
      <c r="E93" s="22">
        <f>(BALCONS!E93/BALCONS!$D$134)*100</f>
        <v>0</v>
      </c>
      <c r="F93" s="22">
        <f>(BALCONS!F93/BALCONS!$F$134)*100</f>
        <v>0</v>
      </c>
      <c r="G93" s="22">
        <f>(BALCONS!G93/BALCONS!$G$134)*100</f>
        <v>0</v>
      </c>
      <c r="H93" s="22">
        <f>(BALCONS!H93/BALCONS!$H$134)*100</f>
        <v>0</v>
      </c>
      <c r="I93" s="22">
        <f>(BALCONS!I93/BALCONS!$I$134)*100</f>
        <v>0</v>
      </c>
      <c r="J93" s="22">
        <f>(BALCONS!J93/BALCONS!$J$134)*100</f>
        <v>0</v>
      </c>
      <c r="K93" s="79">
        <f>(BALCONS!K93/BALCONS!$K$134)*100</f>
        <v>0</v>
      </c>
    </row>
    <row r="94" spans="1:11" x14ac:dyDescent="0.2">
      <c r="A94" s="93">
        <v>88</v>
      </c>
      <c r="B94" s="20">
        <f>+BALANCE!B427</f>
        <v>16</v>
      </c>
      <c r="C94" s="21" t="str">
        <f>+BALANCE!C427</f>
        <v>CUENTAS POR COBRAR</v>
      </c>
      <c r="D94" s="22">
        <f>(BALCONS!D94/BALCONS!$D$134)*100</f>
        <v>1.2898783795293032</v>
      </c>
      <c r="E94" s="22">
        <f>(BALCONS!E94/BALCONS!$D$134)*100</f>
        <v>1.2898783795293032</v>
      </c>
      <c r="F94" s="22">
        <f>(BALCONS!F94/BALCONS!$F$134)*100</f>
        <v>5.252568998733242</v>
      </c>
      <c r="G94" s="22">
        <f>(BALCONS!G94/BALCONS!$G$134)*100</f>
        <v>13.441841864145429</v>
      </c>
      <c r="H94" s="22">
        <f>(BALCONS!H94/BALCONS!$H$134)*100</f>
        <v>3.6868976064869914</v>
      </c>
      <c r="I94" s="22">
        <f>(BALCONS!I94/BALCONS!$I$134)*100</f>
        <v>6.9940025301221924</v>
      </c>
      <c r="J94" s="22">
        <f>(BALCONS!J94/BALCONS!$J$134)*100</f>
        <v>6.7181793312067164</v>
      </c>
      <c r="K94" s="79">
        <f>(BALCONS!K94/BALCONS!$K$134)*100</f>
        <v>0.62926832604728211</v>
      </c>
    </row>
    <row r="95" spans="1:11" x14ac:dyDescent="0.2">
      <c r="A95" s="93">
        <v>89</v>
      </c>
      <c r="B95" s="20">
        <f>+BALANCE!B428</f>
        <v>1601</v>
      </c>
      <c r="C95" s="21" t="str">
        <f>+BALANCE!C428</f>
        <v>Intereses por cobrar de operaciones interbancarias</v>
      </c>
      <c r="D95" s="22">
        <f>(BALCONS!D95/BALCONS!$D$134)*100</f>
        <v>0</v>
      </c>
      <c r="E95" s="22">
        <f>(BALCONS!E95/BALCONS!$D$134)*100</f>
        <v>0</v>
      </c>
      <c r="F95" s="22">
        <f>(BALCONS!F95/BALCONS!$F$134)*100</f>
        <v>0</v>
      </c>
      <c r="G95" s="22">
        <f>(BALCONS!G95/BALCONS!$G$134)*100</f>
        <v>0</v>
      </c>
      <c r="H95" s="22">
        <f>(BALCONS!H95/BALCONS!$H$134)*100</f>
        <v>0</v>
      </c>
      <c r="I95" s="22">
        <f>(BALCONS!I95/BALCONS!$I$134)*100</f>
        <v>0</v>
      </c>
      <c r="J95" s="22">
        <f>(BALCONS!J95/BALCONS!$J$134)*100</f>
        <v>0</v>
      </c>
      <c r="K95" s="79">
        <f>(BALCONS!K95/BALCONS!$K$134)*100</f>
        <v>0</v>
      </c>
    </row>
    <row r="96" spans="1:11" x14ac:dyDescent="0.2">
      <c r="A96" s="93">
        <v>90</v>
      </c>
      <c r="B96" s="20">
        <f>+BALANCE!B431</f>
        <v>1602</v>
      </c>
      <c r="C96" s="21" t="str">
        <f>+BALANCE!C431</f>
        <v>Intereses por cobrar inversiones</v>
      </c>
      <c r="D96" s="22">
        <f>(BALCONS!D96/BALCONS!$D$134)*100</f>
        <v>0.11219038195349658</v>
      </c>
      <c r="E96" s="22">
        <f>(BALCONS!E96/BALCONS!$D$134)*100</f>
        <v>0.11219038195349658</v>
      </c>
      <c r="F96" s="22">
        <f>(BALCONS!F96/BALCONS!$F$134)*100</f>
        <v>2.6400887730094965E-2</v>
      </c>
      <c r="G96" s="22">
        <f>(BALCONS!G96/BALCONS!$G$134)*100</f>
        <v>6.142318843432213E-2</v>
      </c>
      <c r="H96" s="22">
        <f>(BALCONS!H96/BALCONS!$H$134)*100</f>
        <v>0.1434822054907367</v>
      </c>
      <c r="I96" s="22">
        <f>(BALCONS!I96/BALCONS!$I$134)*100</f>
        <v>8.7706933712951157E-2</v>
      </c>
      <c r="J96" s="22">
        <f>(BALCONS!J96/BALCONS!$J$134)*100</f>
        <v>8.8890832035621231E-2</v>
      </c>
      <c r="K96" s="79">
        <f>(BALCONS!K96/BALCONS!$K$134)*100</f>
        <v>0</v>
      </c>
    </row>
    <row r="97" spans="1:11" x14ac:dyDescent="0.2">
      <c r="A97" s="93">
        <v>91</v>
      </c>
      <c r="B97" s="20">
        <f>+BALANCE!B436</f>
        <v>1603</v>
      </c>
      <c r="C97" s="21" t="str">
        <f>+BALANCE!C436</f>
        <v>Intereses por cobrar de cartera de créditos</v>
      </c>
      <c r="D97" s="22">
        <f>(BALCONS!D97/BALCONS!$D$134)*100</f>
        <v>0.31460138643185415</v>
      </c>
      <c r="E97" s="22">
        <f>(BALCONS!E97/BALCONS!$D$134)*100</f>
        <v>0.31460138643185415</v>
      </c>
      <c r="F97" s="22">
        <f>(BALCONS!F97/BALCONS!$F$134)*100</f>
        <v>0.22907653897988309</v>
      </c>
      <c r="G97" s="22">
        <f>(BALCONS!G97/BALCONS!$G$134)*100</f>
        <v>1.5589948315897899</v>
      </c>
      <c r="H97" s="22">
        <f>(BALCONS!H97/BALCONS!$H$134)*100</f>
        <v>0.48808198994065327</v>
      </c>
      <c r="I97" s="22">
        <f>(BALCONS!I97/BALCONS!$I$134)*100</f>
        <v>0.73521684878649529</v>
      </c>
      <c r="J97" s="22">
        <f>(BALCONS!J97/BALCONS!$J$134)*100</f>
        <v>0.7148779677809145</v>
      </c>
      <c r="K97" s="79">
        <f>(BALCONS!K97/BALCONS!$K$134)*100</f>
        <v>7.255572372242447E-2</v>
      </c>
    </row>
    <row r="98" spans="1:11" x14ac:dyDescent="0.2">
      <c r="A98" s="93">
        <v>92</v>
      </c>
      <c r="B98" s="20">
        <f>+BALANCE!B445</f>
        <v>1604</v>
      </c>
      <c r="C98" s="21" t="str">
        <f>+BALANCE!C445</f>
        <v>Otros intereses por cobrar</v>
      </c>
      <c r="D98" s="22">
        <f>(BALCONS!D98/BALCONS!$D$134)*100</f>
        <v>0</v>
      </c>
      <c r="E98" s="22">
        <f>(BALCONS!E98/BALCONS!$D$134)*100</f>
        <v>0</v>
      </c>
      <c r="F98" s="22">
        <f>(BALCONS!F98/BALCONS!$F$134)*100</f>
        <v>0</v>
      </c>
      <c r="G98" s="22">
        <f>(BALCONS!G98/BALCONS!$G$134)*100</f>
        <v>1.2512383359378121E-3</v>
      </c>
      <c r="H98" s="22">
        <f>(BALCONS!H98/BALCONS!$H$134)*100</f>
        <v>1.3877794889934503E-2</v>
      </c>
      <c r="I98" s="22">
        <f>(BALCONS!I98/BALCONS!$I$134)*100</f>
        <v>6.4087525227279132E-3</v>
      </c>
      <c r="J98" s="22">
        <f>(BALCONS!J98/BALCONS!$J$134)*100</f>
        <v>6.0988569848314071E-3</v>
      </c>
      <c r="K98" s="79">
        <f>(BALCONS!K98/BALCONS!$K$134)*100</f>
        <v>0</v>
      </c>
    </row>
    <row r="99" spans="1:11" x14ac:dyDescent="0.2">
      <c r="A99" s="93">
        <v>93</v>
      </c>
      <c r="B99" s="20">
        <f>+BALANCE!B446</f>
        <v>1605</v>
      </c>
      <c r="C99" s="21" t="str">
        <f>+BALANCE!C446</f>
        <v>Comisiones por cobrar</v>
      </c>
      <c r="D99" s="22">
        <f>(BALCONS!D99/BALCONS!$D$134)*100</f>
        <v>0</v>
      </c>
      <c r="E99" s="22">
        <f>(BALCONS!E99/BALCONS!$D$134)*100</f>
        <v>0</v>
      </c>
      <c r="F99" s="22">
        <f>(BALCONS!F99/BALCONS!$F$134)*100</f>
        <v>1.2892418382215093E-5</v>
      </c>
      <c r="G99" s="22">
        <f>(BALCONS!G99/BALCONS!$G$134)*100</f>
        <v>3.6107098136105528E-3</v>
      </c>
      <c r="H99" s="22">
        <f>(BALCONS!H99/BALCONS!$H$134)*100</f>
        <v>0</v>
      </c>
      <c r="I99" s="22">
        <f>(BALCONS!I99/BALCONS!$I$134)*100</f>
        <v>1.0716535553167391E-3</v>
      </c>
      <c r="J99" s="22">
        <f>(BALCONS!J99/BALCONS!$J$134)*100</f>
        <v>1.0198336958689249E-3</v>
      </c>
      <c r="K99" s="79">
        <f>(BALCONS!K99/BALCONS!$K$134)*100</f>
        <v>0</v>
      </c>
    </row>
    <row r="100" spans="1:11" x14ac:dyDescent="0.2">
      <c r="A100" s="93">
        <v>94</v>
      </c>
      <c r="B100" s="20">
        <f>+BALANCE!B451</f>
        <v>1606</v>
      </c>
      <c r="C100" s="21" t="str">
        <f>+BALANCE!C451</f>
        <v>Rendimientos por cobrar de fideicomisos mercantiles</v>
      </c>
      <c r="D100" s="22">
        <f>(BALCONS!D100/BALCONS!$D$134)*100</f>
        <v>0</v>
      </c>
      <c r="E100" s="22">
        <f>(BALCONS!E100/BALCONS!$D$134)*100</f>
        <v>0</v>
      </c>
      <c r="F100" s="22">
        <f>(BALCONS!F100/BALCONS!$F$134)*100</f>
        <v>0</v>
      </c>
      <c r="G100" s="22">
        <f>(BALCONS!G100/BALCONS!$G$134)*100</f>
        <v>0</v>
      </c>
      <c r="H100" s="22">
        <f>(BALCONS!H100/BALCONS!$H$134)*100</f>
        <v>0</v>
      </c>
      <c r="I100" s="22">
        <f>(BALCONS!I100/BALCONS!$I$134)*100</f>
        <v>0</v>
      </c>
      <c r="J100" s="22">
        <f>(BALCONS!J100/BALCONS!$J$134)*100</f>
        <v>0</v>
      </c>
      <c r="K100" s="79">
        <f>(BALCONS!K100/BALCONS!$K$134)*100</f>
        <v>0</v>
      </c>
    </row>
    <row r="101" spans="1:11" x14ac:dyDescent="0.2">
      <c r="A101" s="93">
        <v>95</v>
      </c>
      <c r="B101" s="20">
        <f>+BALANCE!B452</f>
        <v>1607</v>
      </c>
      <c r="C101" s="21" t="str">
        <f>+BALANCE!C452</f>
        <v>Facturas por cobrar</v>
      </c>
      <c r="D101" s="22">
        <f>(BALCONS!D101/BALCONS!$D$134)*100</f>
        <v>0</v>
      </c>
      <c r="E101" s="22">
        <f>(BALCONS!E101/BALCONS!$D$134)*100</f>
        <v>0</v>
      </c>
      <c r="F101" s="22">
        <f>(BALCONS!F101/BALCONS!$F$134)*100</f>
        <v>0</v>
      </c>
      <c r="G101" s="22">
        <f>(BALCONS!G101/BALCONS!$G$134)*100</f>
        <v>0</v>
      </c>
      <c r="H101" s="22">
        <f>(BALCONS!H101/BALCONS!$H$134)*100</f>
        <v>0</v>
      </c>
      <c r="I101" s="22">
        <f>(BALCONS!I101/BALCONS!$I$134)*100</f>
        <v>0</v>
      </c>
      <c r="J101" s="22">
        <f>(BALCONS!J101/BALCONS!$J$134)*100</f>
        <v>0</v>
      </c>
      <c r="K101" s="79">
        <f>(BALCONS!K101/BALCONS!$K$134)*100</f>
        <v>0</v>
      </c>
    </row>
    <row r="102" spans="1:11" x14ac:dyDescent="0.2">
      <c r="A102" s="93">
        <v>96</v>
      </c>
      <c r="B102" s="20">
        <f>+BALANCE!B453</f>
        <v>1608</v>
      </c>
      <c r="C102" s="21" t="str">
        <f>+BALANCE!C453</f>
        <v>Deudores por disposición de mercaderías</v>
      </c>
      <c r="D102" s="22">
        <f>(BALCONS!D102/BALCONS!$D$134)*100</f>
        <v>0</v>
      </c>
      <c r="E102" s="22">
        <f>(BALCONS!E102/BALCONS!$D$134)*100</f>
        <v>0</v>
      </c>
      <c r="F102" s="22">
        <f>(BALCONS!F102/BALCONS!$F$134)*100</f>
        <v>0</v>
      </c>
      <c r="G102" s="22">
        <f>(BALCONS!G102/BALCONS!$G$134)*100</f>
        <v>0</v>
      </c>
      <c r="H102" s="22">
        <f>(BALCONS!H102/BALCONS!$H$134)*100</f>
        <v>0</v>
      </c>
      <c r="I102" s="22">
        <f>(BALCONS!I102/BALCONS!$I$134)*100</f>
        <v>0</v>
      </c>
      <c r="J102" s="22">
        <f>(BALCONS!J102/BALCONS!$J$134)*100</f>
        <v>0</v>
      </c>
      <c r="K102" s="79">
        <f>(BALCONS!K102/BALCONS!$K$134)*100</f>
        <v>0</v>
      </c>
    </row>
    <row r="103" spans="1:11" x14ac:dyDescent="0.2">
      <c r="A103" s="93">
        <v>97</v>
      </c>
      <c r="B103" s="20">
        <f>+BALANCE!B454</f>
        <v>1609</v>
      </c>
      <c r="C103" s="21" t="str">
        <f>+BALANCE!C454</f>
        <v>Garantías y retrogarantías pendientes de cobro</v>
      </c>
      <c r="D103" s="22">
        <f>(BALCONS!D103/BALCONS!$D$134)*100</f>
        <v>0</v>
      </c>
      <c r="E103" s="22">
        <f>(BALCONS!E103/BALCONS!$D$134)*100</f>
        <v>0</v>
      </c>
      <c r="F103" s="22">
        <f>(BALCONS!F103/BALCONS!$F$134)*100</f>
        <v>0</v>
      </c>
      <c r="G103" s="22">
        <f>(BALCONS!G103/BALCONS!$G$134)*100</f>
        <v>0</v>
      </c>
      <c r="H103" s="22">
        <f>(BALCONS!H103/BALCONS!$H$134)*100</f>
        <v>0</v>
      </c>
      <c r="I103" s="22">
        <f>(BALCONS!I103/BALCONS!$I$134)*100</f>
        <v>0</v>
      </c>
      <c r="J103" s="22">
        <f>(BALCONS!J103/BALCONS!$J$134)*100</f>
        <v>0</v>
      </c>
      <c r="K103" s="79">
        <f>(BALCONS!K103/BALCONS!$K$134)*100</f>
        <v>0</v>
      </c>
    </row>
    <row r="104" spans="1:11" x14ac:dyDescent="0.2">
      <c r="A104" s="93">
        <v>98</v>
      </c>
      <c r="B104" s="20">
        <f>+BALANCE!B455</f>
        <v>1611</v>
      </c>
      <c r="C104" s="21" t="str">
        <f>+BALANCE!C455</f>
        <v>Anticipo para adquisición de acciones</v>
      </c>
      <c r="D104" s="22">
        <f>(BALCONS!D104/BALCONS!$D$134)*100</f>
        <v>0</v>
      </c>
      <c r="E104" s="22">
        <f>(BALCONS!E104/BALCONS!$D$134)*100</f>
        <v>0</v>
      </c>
      <c r="F104" s="22">
        <f>(BALCONS!F104/BALCONS!$F$134)*100</f>
        <v>0</v>
      </c>
      <c r="G104" s="22">
        <f>(BALCONS!G104/BALCONS!$G$134)*100</f>
        <v>0</v>
      </c>
      <c r="H104" s="22">
        <f>(BALCONS!H104/BALCONS!$H$134)*100</f>
        <v>0</v>
      </c>
      <c r="I104" s="22">
        <f>(BALCONS!I104/BALCONS!$I$134)*100</f>
        <v>0</v>
      </c>
      <c r="J104" s="22">
        <f>(BALCONS!J104/BALCONS!$J$134)*100</f>
        <v>0</v>
      </c>
      <c r="K104" s="79">
        <f>(BALCONS!K104/BALCONS!$K$134)*100</f>
        <v>0</v>
      </c>
    </row>
    <row r="105" spans="1:11" x14ac:dyDescent="0.2">
      <c r="A105" s="93">
        <v>99</v>
      </c>
      <c r="B105" s="20">
        <f>+BALANCE!B456</f>
        <v>1612</v>
      </c>
      <c r="C105" s="21" t="str">
        <f>+BALANCE!C456</f>
        <v>Inversiones vencidas</v>
      </c>
      <c r="D105" s="22">
        <f>(BALCONS!D105/BALCONS!$D$134)*100</f>
        <v>0</v>
      </c>
      <c r="E105" s="22">
        <f>(BALCONS!E105/BALCONS!$D$134)*100</f>
        <v>0</v>
      </c>
      <c r="F105" s="22">
        <f>(BALCONS!F105/BALCONS!$F$134)*100</f>
        <v>0</v>
      </c>
      <c r="G105" s="22">
        <f>(BALCONS!G105/BALCONS!$G$134)*100</f>
        <v>6.6026979676841413E-8</v>
      </c>
      <c r="H105" s="22">
        <f>(BALCONS!H105/BALCONS!$H$134)*100</f>
        <v>0.25228236532779669</v>
      </c>
      <c r="I105" s="22">
        <f>(BALCONS!I105/BALCONS!$I$134)*100</f>
        <v>0.10977462412618259</v>
      </c>
      <c r="J105" s="22">
        <f>(BALCONS!J105/BALCONS!$J$134)*100</f>
        <v>0.1044664668724383</v>
      </c>
      <c r="K105" s="79">
        <f>(BALCONS!K105/BALCONS!$K$134)*100</f>
        <v>0</v>
      </c>
    </row>
    <row r="106" spans="1:11" x14ac:dyDescent="0.2">
      <c r="A106" s="93">
        <v>100</v>
      </c>
      <c r="B106" s="20">
        <f>+BALANCE!B457</f>
        <v>1613</v>
      </c>
      <c r="C106" s="21" t="str">
        <f>+BALANCE!C457</f>
        <v>Dividendos pagados por anticipado</v>
      </c>
      <c r="D106" s="22">
        <f>(BALCONS!D106/BALCONS!$D$134)*100</f>
        <v>0</v>
      </c>
      <c r="E106" s="22">
        <f>(BALCONS!E106/BALCONS!$D$134)*100</f>
        <v>0</v>
      </c>
      <c r="F106" s="22">
        <f>(BALCONS!F106/BALCONS!$F$134)*100</f>
        <v>0</v>
      </c>
      <c r="G106" s="22">
        <f>(BALCONS!G106/BALCONS!$G$134)*100</f>
        <v>0</v>
      </c>
      <c r="H106" s="22">
        <f>(BALCONS!H106/BALCONS!$H$134)*100</f>
        <v>0</v>
      </c>
      <c r="I106" s="22">
        <f>(BALCONS!I106/BALCONS!$I$134)*100</f>
        <v>0</v>
      </c>
      <c r="J106" s="22">
        <f>(BALCONS!J106/BALCONS!$J$134)*100</f>
        <v>0</v>
      </c>
      <c r="K106" s="79">
        <f>(BALCONS!K106/BALCONS!$K$134)*100</f>
        <v>0</v>
      </c>
    </row>
    <row r="107" spans="1:11" x14ac:dyDescent="0.2">
      <c r="A107" s="93">
        <v>101</v>
      </c>
      <c r="B107" s="20">
        <f>+BALANCE!B458</f>
        <v>1614</v>
      </c>
      <c r="C107" s="21" t="str">
        <f>+BALANCE!C458</f>
        <v>Pagos por cuenta de clientes</v>
      </c>
      <c r="D107" s="22">
        <f>(BALCONS!D107/BALCONS!$D$134)*100</f>
        <v>5.746909669499E-2</v>
      </c>
      <c r="E107" s="22">
        <f>(BALCONS!E107/BALCONS!$D$134)*100</f>
        <v>5.746909669499E-2</v>
      </c>
      <c r="F107" s="22">
        <f>(BALCONS!F107/BALCONS!$F$134)*100</f>
        <v>0</v>
      </c>
      <c r="G107" s="22">
        <f>(BALCONS!G107/BALCONS!$G$134)*100</f>
        <v>3.3464217733026283E-2</v>
      </c>
      <c r="H107" s="22">
        <f>(BALCONS!H107/BALCONS!$H$134)*100</f>
        <v>0.3664881478906738</v>
      </c>
      <c r="I107" s="22">
        <f>(BALCONS!I107/BALCONS!$I$134)*100</f>
        <v>0.16936849049346664</v>
      </c>
      <c r="J107" s="22">
        <f>(BALCONS!J107/BALCONS!$J$134)*100</f>
        <v>0.16395758989955331</v>
      </c>
      <c r="K107" s="79">
        <f>(BALCONS!K107/BALCONS!$K$134)*100</f>
        <v>0</v>
      </c>
    </row>
    <row r="108" spans="1:11" x14ac:dyDescent="0.2">
      <c r="A108" s="93">
        <v>102</v>
      </c>
      <c r="B108" s="20">
        <f>+BALANCE!B466</f>
        <v>1615</v>
      </c>
      <c r="C108" s="21" t="str">
        <f>+BALANCE!C466</f>
        <v>Intereses reestructurados por cobrar</v>
      </c>
      <c r="D108" s="22">
        <f>(BALCONS!D108/BALCONS!$D$134)*100</f>
        <v>1.887380756026184E-2</v>
      </c>
      <c r="E108" s="22">
        <f>(BALCONS!E108/BALCONS!$D$134)*100</f>
        <v>1.887380756026184E-2</v>
      </c>
      <c r="F108" s="22">
        <f>(BALCONS!F108/BALCONS!$F$134)*100</f>
        <v>0</v>
      </c>
      <c r="G108" s="22">
        <f>(BALCONS!G108/BALCONS!$G$134)*100</f>
        <v>0.25192080273742989</v>
      </c>
      <c r="H108" s="22">
        <f>(BALCONS!H108/BALCONS!$H$134)*100</f>
        <v>9.8124726603137286E-2</v>
      </c>
      <c r="I108" s="22">
        <f>(BALCONS!I108/BALCONS!$I$134)*100</f>
        <v>0.11722435180958828</v>
      </c>
      <c r="J108" s="22">
        <f>(BALCONS!J108/BALCONS!$J$134)*100</f>
        <v>0.11246860649028143</v>
      </c>
      <c r="K108" s="79">
        <f>(BALCONS!K108/BALCONS!$K$134)*100</f>
        <v>0</v>
      </c>
    </row>
    <row r="109" spans="1:11" x14ac:dyDescent="0.2">
      <c r="A109" s="93">
        <v>103</v>
      </c>
      <c r="B109" s="20">
        <f>+BALANCE!B473</f>
        <v>1690</v>
      </c>
      <c r="C109" s="21" t="str">
        <f>+BALANCE!C473</f>
        <v>Cuentas por cobrar varias</v>
      </c>
      <c r="D109" s="22">
        <f>(BALCONS!D109/BALCONS!$D$134)*100</f>
        <v>3.7745384933578201</v>
      </c>
      <c r="E109" s="22">
        <f>(BALCONS!E109/BALCONS!$D$134)*100</f>
        <v>3.7745384933578201</v>
      </c>
      <c r="F109" s="22">
        <f>(BALCONS!F109/BALCONS!$F$134)*100</f>
        <v>5.0630423175131902</v>
      </c>
      <c r="G109" s="22">
        <f>(BALCONS!G109/BALCONS!$G$134)*100</f>
        <v>11.981657351827842</v>
      </c>
      <c r="H109" s="22">
        <f>(BALCONS!H109/BALCONS!$H$134)*100</f>
        <v>3.3334362450809207</v>
      </c>
      <c r="I109" s="22">
        <f>(BALCONS!I109/BALCONS!$I$134)*100</f>
        <v>6.3572347929243875</v>
      </c>
      <c r="J109" s="22">
        <f>(BALCONS!J109/BALCONS!$J$134)*100</f>
        <v>6.2323483885673632</v>
      </c>
      <c r="K109" s="79">
        <f>(BALCONS!K109/BALCONS!$K$134)*100</f>
        <v>0.85890644617996958</v>
      </c>
    </row>
    <row r="110" spans="1:11" x14ac:dyDescent="0.2">
      <c r="A110" s="93">
        <v>104</v>
      </c>
      <c r="B110" s="20">
        <f>+BALANCE!B482</f>
        <v>1699</v>
      </c>
      <c r="C110" s="21" t="str">
        <f>+BALANCE!C482</f>
        <v>(Provisión para cuentas por cobrar)</v>
      </c>
      <c r="D110" s="22">
        <f>(BALCONS!D110/BALCONS!$D$134)*100</f>
        <v>-2.9877947864691197</v>
      </c>
      <c r="E110" s="22">
        <f>(BALCONS!E110/BALCONS!$D$134)*100</f>
        <v>-2.9877947864691197</v>
      </c>
      <c r="F110" s="22">
        <f>(BALCONS!F110/BALCONS!$F$134)*100</f>
        <v>-6.5963637908308184E-2</v>
      </c>
      <c r="G110" s="22">
        <f>(BALCONS!G110/BALCONS!$G$134)*100</f>
        <v>-0.45048054235350898</v>
      </c>
      <c r="H110" s="22">
        <f>(BALCONS!H110/BALCONS!$H$134)*100</f>
        <v>-1.0088758687368615</v>
      </c>
      <c r="I110" s="22">
        <f>(BALCONS!I110/BALCONS!$I$134)*100</f>
        <v>-0.59000391780892414</v>
      </c>
      <c r="J110" s="22">
        <f>(BALCONS!J110/BALCONS!$J$134)*100</f>
        <v>-0.70594921112015618</v>
      </c>
      <c r="K110" s="79">
        <f>(BALCONS!K110/BALCONS!$K$134)*100</f>
        <v>-0.30219384385511205</v>
      </c>
    </row>
    <row r="111" spans="1:11" x14ac:dyDescent="0.2">
      <c r="A111" s="93">
        <v>105</v>
      </c>
      <c r="B111" s="20">
        <f>+BALANCE!B485</f>
        <v>17</v>
      </c>
      <c r="C111" s="21" t="str">
        <f>+BALANCE!C485</f>
        <v>BIENES REALIZABLES, ADJUDICADOS POR PAGO, DE ARRENDAMIENTO MERCANTIL Y NO UTILIZADOS POR LA INSTITUCION</v>
      </c>
      <c r="D111" s="22">
        <f>(BALCONS!D111/BALCONS!$D$134)*100</f>
        <v>8.8476097171313874</v>
      </c>
      <c r="E111" s="22">
        <f>(BALCONS!E111/BALCONS!$D$134)*100</f>
        <v>8.8476097171313874</v>
      </c>
      <c r="F111" s="22">
        <f>(BALCONS!F111/BALCONS!$F$134)*100</f>
        <v>0.48690882105065014</v>
      </c>
      <c r="G111" s="22">
        <f>(BALCONS!G111/BALCONS!$G$134)*100</f>
        <v>0.14128004986139456</v>
      </c>
      <c r="H111" s="22">
        <f>(BALCONS!H111/BALCONS!$H$134)*100</f>
        <v>0.47790013266644848</v>
      </c>
      <c r="I111" s="22">
        <f>(BALCONS!I111/BALCONS!$I$134)*100</f>
        <v>0.38073879595301346</v>
      </c>
      <c r="J111" s="22">
        <f>(BALCONS!J111/BALCONS!$J$134)*100</f>
        <v>0.79015474845136635</v>
      </c>
      <c r="K111" s="79">
        <f>(BALCONS!K111/BALCONS!$K$134)*100</f>
        <v>0</v>
      </c>
    </row>
    <row r="112" spans="1:11" x14ac:dyDescent="0.2">
      <c r="A112" s="93">
        <v>106</v>
      </c>
      <c r="B112" s="20">
        <f>+BALANCE!B486</f>
        <v>1701</v>
      </c>
      <c r="C112" s="21" t="str">
        <f>+BALANCE!C486</f>
        <v>Bienes realizables</v>
      </c>
      <c r="D112" s="22">
        <f>(BALCONS!D112/BALCONS!$D$134)*100</f>
        <v>8.0298672958715365</v>
      </c>
      <c r="E112" s="22">
        <f>(BALCONS!E112/BALCONS!$D$134)*100</f>
        <v>8.0298672958715365</v>
      </c>
      <c r="F112" s="22">
        <f>(BALCONS!F112/BALCONS!$F$134)*100</f>
        <v>0</v>
      </c>
      <c r="G112" s="22">
        <f>(BALCONS!G112/BALCONS!$G$134)*100</f>
        <v>0</v>
      </c>
      <c r="H112" s="22">
        <f>(BALCONS!H112/BALCONS!$H$134)*100</f>
        <v>0</v>
      </c>
      <c r="I112" s="22">
        <f>(BALCONS!I112/BALCONS!$I$134)*100</f>
        <v>0</v>
      </c>
      <c r="J112" s="22">
        <f>(BALCONS!J112/BALCONS!$J$134)*100</f>
        <v>0.38828462108137041</v>
      </c>
      <c r="K112" s="79">
        <f>(BALCONS!K112/BALCONS!$K$134)*100</f>
        <v>0</v>
      </c>
    </row>
    <row r="113" spans="1:11" x14ac:dyDescent="0.2">
      <c r="A113" s="93">
        <v>107</v>
      </c>
      <c r="B113" s="20">
        <f>+BALANCE!B491</f>
        <v>1702</v>
      </c>
      <c r="C113" s="21" t="str">
        <f>+BALANCE!C491</f>
        <v>Bienes adjudicados por pago</v>
      </c>
      <c r="D113" s="22">
        <f>(BALCONS!D113/BALCONS!$D$134)*100</f>
        <v>0.2358614982831804</v>
      </c>
      <c r="E113" s="22">
        <f>(BALCONS!E113/BALCONS!$D$134)*100</f>
        <v>0.2358614982831804</v>
      </c>
      <c r="F113" s="22">
        <f>(BALCONS!F113/BALCONS!$F$134)*100</f>
        <v>1.8977564349722056E-3</v>
      </c>
      <c r="G113" s="22">
        <f>(BALCONS!G113/BALCONS!$G$134)*100</f>
        <v>2.5181891122293223E-3</v>
      </c>
      <c r="H113" s="22">
        <f>(BALCONS!H113/BALCONS!$H$134)*100</f>
        <v>0.82276069900197002</v>
      </c>
      <c r="I113" s="22">
        <f>(BALCONS!I113/BALCONS!$I$134)*100</f>
        <v>0.35926007399218446</v>
      </c>
      <c r="J113" s="22">
        <f>(BALCONS!J113/BALCONS!$J$134)*100</f>
        <v>0.35329312990136674</v>
      </c>
      <c r="K113" s="79">
        <f>(BALCONS!K113/BALCONS!$K$134)*100</f>
        <v>0</v>
      </c>
    </row>
    <row r="114" spans="1:11" x14ac:dyDescent="0.2">
      <c r="A114" s="93">
        <v>108</v>
      </c>
      <c r="B114" s="20">
        <f>+BALANCE!B502</f>
        <v>1703</v>
      </c>
      <c r="C114" s="21" t="str">
        <f>+BALANCE!C502</f>
        <v>Bienes por arrendar</v>
      </c>
      <c r="D114" s="22">
        <f>(BALCONS!D114/BALCONS!$D$134)*100</f>
        <v>0</v>
      </c>
      <c r="E114" s="22">
        <f>(BALCONS!E114/BALCONS!$D$134)*100</f>
        <v>0</v>
      </c>
      <c r="F114" s="22">
        <f>(BALCONS!F114/BALCONS!$F$134)*100</f>
        <v>0</v>
      </c>
      <c r="G114" s="22">
        <f>(BALCONS!G114/BALCONS!$G$134)*100</f>
        <v>0</v>
      </c>
      <c r="H114" s="22">
        <f>(BALCONS!H114/BALCONS!$H$134)*100</f>
        <v>0</v>
      </c>
      <c r="I114" s="22">
        <f>(BALCONS!I114/BALCONS!$I$134)*100</f>
        <v>0</v>
      </c>
      <c r="J114" s="22">
        <f>(BALCONS!J114/BALCONS!$J$134)*100</f>
        <v>0</v>
      </c>
      <c r="K114" s="79">
        <f>(BALCONS!K114/BALCONS!$K$134)*100</f>
        <v>0</v>
      </c>
    </row>
    <row r="115" spans="1:11" x14ac:dyDescent="0.2">
      <c r="A115" s="93">
        <v>109</v>
      </c>
      <c r="B115" s="20">
        <f>+BALANCE!B505</f>
        <v>1704</v>
      </c>
      <c r="C115" s="21" t="str">
        <f>+BALANCE!C505</f>
        <v>Bienes recuperados</v>
      </c>
      <c r="D115" s="22">
        <f>(BALCONS!D115/BALCONS!$D$134)*100</f>
        <v>0</v>
      </c>
      <c r="E115" s="22">
        <f>(BALCONS!E115/BALCONS!$D$134)*100</f>
        <v>0</v>
      </c>
      <c r="F115" s="22">
        <f>(BALCONS!F115/BALCONS!$F$134)*100</f>
        <v>0</v>
      </c>
      <c r="G115" s="22">
        <f>(BALCONS!G115/BALCONS!$G$134)*100</f>
        <v>0</v>
      </c>
      <c r="H115" s="22">
        <f>(BALCONS!H115/BALCONS!$H$134)*100</f>
        <v>0</v>
      </c>
      <c r="I115" s="22">
        <f>(BALCONS!I115/BALCONS!$I$134)*100</f>
        <v>0</v>
      </c>
      <c r="J115" s="22">
        <f>(BALCONS!J115/BALCONS!$J$134)*100</f>
        <v>0</v>
      </c>
      <c r="K115" s="79">
        <f>(BALCONS!K115/BALCONS!$K$134)*100</f>
        <v>0</v>
      </c>
    </row>
    <row r="116" spans="1:11" x14ac:dyDescent="0.2">
      <c r="A116" s="93">
        <v>110</v>
      </c>
      <c r="B116" s="20">
        <f>+BALANCE!B513</f>
        <v>1705</v>
      </c>
      <c r="C116" s="21" t="str">
        <f>+BALANCE!C513</f>
        <v>Bienes arrendados</v>
      </c>
      <c r="D116" s="22">
        <f>(BALCONS!D116/BALCONS!$D$134)*100</f>
        <v>0</v>
      </c>
      <c r="E116" s="22">
        <f>(BALCONS!E116/BALCONS!$D$134)*100</f>
        <v>0</v>
      </c>
      <c r="F116" s="22">
        <f>(BALCONS!F116/BALCONS!$F$134)*100</f>
        <v>0</v>
      </c>
      <c r="G116" s="22">
        <f>(BALCONS!G116/BALCONS!$G$134)*100</f>
        <v>0</v>
      </c>
      <c r="H116" s="22">
        <f>(BALCONS!H116/BALCONS!$H$134)*100</f>
        <v>4.4891110082969567E-8</v>
      </c>
      <c r="I116" s="22">
        <f>(BALCONS!I116/BALCONS!$I$134)*100</f>
        <v>1.9533287047991576E-8</v>
      </c>
      <c r="J116" s="22">
        <f>(BALCONS!J116/BALCONS!$J$134)*100</f>
        <v>1.8588754008970806E-8</v>
      </c>
      <c r="K116" s="79">
        <f>(BALCONS!K116/BALCONS!$K$134)*100</f>
        <v>0</v>
      </c>
    </row>
    <row r="117" spans="1:11" x14ac:dyDescent="0.2">
      <c r="A117" s="93">
        <v>111</v>
      </c>
      <c r="B117" s="20">
        <f>+BALANCE!B522</f>
        <v>1706</v>
      </c>
      <c r="C117" s="21" t="str">
        <f>+BALANCE!C522</f>
        <v>Bienes no utilizados por la institución</v>
      </c>
      <c r="D117" s="22">
        <f>(BALCONS!D117/BALCONS!$D$134)*100</f>
        <v>0.8723657365209333</v>
      </c>
      <c r="E117" s="22">
        <f>(BALCONS!E117/BALCONS!$D$134)*100</f>
        <v>0.8723657365209333</v>
      </c>
      <c r="F117" s="22">
        <f>(BALCONS!F117/BALCONS!$F$134)*100</f>
        <v>0.48690882105065014</v>
      </c>
      <c r="G117" s="22">
        <f>(BALCONS!G117/BALCONS!$G$134)*100</f>
        <v>0.14128004986139456</v>
      </c>
      <c r="H117" s="22">
        <f>(BALCONS!H117/BALCONS!$H$134)*100</f>
        <v>1.620234545442863E-2</v>
      </c>
      <c r="I117" s="22">
        <f>(BALCONS!I117/BALCONS!$I$134)*100</f>
        <v>0.17984210637758064</v>
      </c>
      <c r="J117" s="22">
        <f>(BALCONS!J117/BALCONS!$J$134)*100</f>
        <v>0.21332911997472398</v>
      </c>
      <c r="K117" s="79">
        <f>(BALCONS!K117/BALCONS!$K$134)*100</f>
        <v>0</v>
      </c>
    </row>
    <row r="118" spans="1:11" x14ac:dyDescent="0.2">
      <c r="A118" s="93">
        <v>112</v>
      </c>
      <c r="B118" s="20">
        <f>+BALANCE!B529</f>
        <v>1799</v>
      </c>
      <c r="C118" s="21" t="str">
        <f>+BALANCE!C529</f>
        <v>(Provisión para bienes realizables, adjudicados por pago y recuperados)</v>
      </c>
      <c r="D118" s="22">
        <f>(BALCONS!D118/BALCONS!$D$134)*100</f>
        <v>-0.29048481354426281</v>
      </c>
      <c r="E118" s="22">
        <f>(BALCONS!E118/BALCONS!$D$134)*100</f>
        <v>-0.29048481354426281</v>
      </c>
      <c r="F118" s="22">
        <f>(BALCONS!F118/BALCONS!$F$134)*100</f>
        <v>-1.8977564349722056E-3</v>
      </c>
      <c r="G118" s="22">
        <f>(BALCONS!G118/BALCONS!$G$134)*100</f>
        <v>-2.5181891122293223E-3</v>
      </c>
      <c r="H118" s="22">
        <f>(BALCONS!H118/BALCONS!$H$134)*100</f>
        <v>-0.36106295668106037</v>
      </c>
      <c r="I118" s="22">
        <f>(BALCONS!I118/BALCONS!$I$134)*100</f>
        <v>-0.15836340395003881</v>
      </c>
      <c r="J118" s="22">
        <f>(BALCONS!J118/BALCONS!$J$134)*100</f>
        <v>-0.16475214109484884</v>
      </c>
      <c r="K118" s="79">
        <f>(BALCONS!K118/BALCONS!$K$134)*100</f>
        <v>0</v>
      </c>
    </row>
    <row r="119" spans="1:11" x14ac:dyDescent="0.2">
      <c r="A119" s="93">
        <v>113</v>
      </c>
      <c r="B119" s="20">
        <f>+BALANCE!B534</f>
        <v>18</v>
      </c>
      <c r="C119" s="21" t="str">
        <f>+BALANCE!C534</f>
        <v>PROPIEDADES Y EQUIPO</v>
      </c>
      <c r="D119" s="22">
        <f>(BALCONS!D119/BALCONS!$D$134)*100</f>
        <v>2.7216067283413579</v>
      </c>
      <c r="E119" s="22">
        <f>(BALCONS!E119/BALCONS!$D$134)*100</f>
        <v>2.7216067283413579</v>
      </c>
      <c r="F119" s="22">
        <f>(BALCONS!F119/BALCONS!$F$134)*100</f>
        <v>0.40097582102677282</v>
      </c>
      <c r="G119" s="22">
        <f>(BALCONS!G119/BALCONS!$G$134)*100</f>
        <v>1.9035795304529066</v>
      </c>
      <c r="H119" s="22">
        <f>(BALCONS!H119/BALCONS!$H$134)*100</f>
        <v>1.7010184682877789</v>
      </c>
      <c r="I119" s="22">
        <f>(BALCONS!I119/BALCONS!$I$134)*100</f>
        <v>1.4111853344243486</v>
      </c>
      <c r="J119" s="22">
        <f>(BALCONS!J119/BALCONS!$J$134)*100</f>
        <v>1.474550824244534</v>
      </c>
      <c r="K119" s="79">
        <f>(BALCONS!K119/BALCONS!$K$134)*100</f>
        <v>1.8359389223269338</v>
      </c>
    </row>
    <row r="120" spans="1:11" x14ac:dyDescent="0.2">
      <c r="A120" s="93">
        <v>114</v>
      </c>
      <c r="B120" s="20">
        <f>+BALANCE!B536</f>
        <v>1802</v>
      </c>
      <c r="C120" s="21" t="str">
        <f>+BALANCE!C536</f>
        <v>Edificios</v>
      </c>
      <c r="D120" s="22">
        <f>(BALCONS!D120/BALCONS!$D$134)*100</f>
        <v>2.2882942022490953</v>
      </c>
      <c r="E120" s="22">
        <f>(BALCONS!E120/BALCONS!$D$134)*100</f>
        <v>2.2882942022490953</v>
      </c>
      <c r="F120" s="22">
        <f>(BALCONS!F120/BALCONS!$F$134)*100</f>
        <v>0.63280392387349604</v>
      </c>
      <c r="G120" s="22">
        <f>(BALCONS!G120/BALCONS!$G$134)*100</f>
        <v>1.4634923035538365</v>
      </c>
      <c r="H120" s="22">
        <f>(BALCONS!H120/BALCONS!$H$134)*100</f>
        <v>1.6596853916770977</v>
      </c>
      <c r="I120" s="22">
        <f>(BALCONS!I120/BALCONS!$I$134)*100</f>
        <v>1.3253758575739218</v>
      </c>
      <c r="J120" s="22">
        <f>(BALCONS!J120/BALCONS!$J$134)*100</f>
        <v>1.3719378206572632</v>
      </c>
      <c r="K120" s="79">
        <f>(BALCONS!K120/BALCONS!$K$134)*100</f>
        <v>0.30188283162077462</v>
      </c>
    </row>
    <row r="121" spans="1:11" x14ac:dyDescent="0.2">
      <c r="A121" s="93">
        <v>115</v>
      </c>
      <c r="B121" s="20">
        <f>+BALANCE!B539</f>
        <v>1805</v>
      </c>
      <c r="C121" s="21" t="str">
        <f>+BALANCE!C539</f>
        <v>Muebles, enseres y equipos de oficina</v>
      </c>
      <c r="D121" s="22">
        <f>(BALCONS!D121/BALCONS!$D$134)*100</f>
        <v>0.28986733154284061</v>
      </c>
      <c r="E121" s="22">
        <f>(BALCONS!E121/BALCONS!$D$134)*100</f>
        <v>0.28986733154284061</v>
      </c>
      <c r="F121" s="22">
        <f>(BALCONS!F121/BALCONS!$F$134)*100</f>
        <v>0.23776398079062264</v>
      </c>
      <c r="G121" s="22">
        <f>(BALCONS!G121/BALCONS!$G$134)*100</f>
        <v>0.45911643089528537</v>
      </c>
      <c r="H121" s="22">
        <f>(BALCONS!H121/BALCONS!$H$134)*100</f>
        <v>0.13896549497904964</v>
      </c>
      <c r="I121" s="22">
        <f>(BALCONS!I121/BALCONS!$I$134)*100</f>
        <v>0.26025865304755852</v>
      </c>
      <c r="J121" s="22">
        <f>(BALCONS!J121/BALCONS!$J$134)*100</f>
        <v>0.26169038212683876</v>
      </c>
      <c r="K121" s="79">
        <f>(BALCONS!K121/BALCONS!$K$134)*100</f>
        <v>0.34935565472674712</v>
      </c>
    </row>
    <row r="122" spans="1:11" x14ac:dyDescent="0.2">
      <c r="A122" s="93">
        <v>116</v>
      </c>
      <c r="B122" s="20">
        <f>+BALANCE!B540</f>
        <v>1806</v>
      </c>
      <c r="C122" s="21" t="str">
        <f>+BALANCE!C540</f>
        <v>Equipos de computación</v>
      </c>
      <c r="D122" s="22">
        <f>(BALCONS!D122/BALCONS!$D$134)*100</f>
        <v>0.73427858013944336</v>
      </c>
      <c r="E122" s="22">
        <f>(BALCONS!E122/BALCONS!$D$134)*100</f>
        <v>0.73427858013944336</v>
      </c>
      <c r="F122" s="22">
        <f>(BALCONS!F122/BALCONS!$F$134)*100</f>
        <v>0.21342461667972537</v>
      </c>
      <c r="G122" s="22">
        <f>(BALCONS!G122/BALCONS!$G$134)*100</f>
        <v>0.57798458253766061</v>
      </c>
      <c r="H122" s="22">
        <f>(BALCONS!H122/BALCONS!$H$134)*100</f>
        <v>0.18839489293467879</v>
      </c>
      <c r="I122" s="22">
        <f>(BALCONS!I122/BALCONS!$I$134)*100</f>
        <v>0.31038421129992239</v>
      </c>
      <c r="J122" s="22">
        <f>(BALCONS!J122/BALCONS!$J$134)*100</f>
        <v>0.33088164398701086</v>
      </c>
      <c r="K122" s="79">
        <f>(BALCONS!K122/BALCONS!$K$134)*100</f>
        <v>0.66574339301865537</v>
      </c>
    </row>
    <row r="123" spans="1:11" x14ac:dyDescent="0.2">
      <c r="A123" s="93">
        <v>117</v>
      </c>
      <c r="B123" s="20">
        <f>+BALANCE!B545</f>
        <v>1899</v>
      </c>
      <c r="C123" s="21" t="str">
        <f>+BALANCE!C545</f>
        <v>(Depreciación acumulada)</v>
      </c>
      <c r="D123" s="22">
        <f>(BALCONS!D123/BALCONS!$D$134)*100</f>
        <v>-3.1096124534525975</v>
      </c>
      <c r="E123" s="22">
        <f>(BALCONS!E123/BALCONS!$D$134)*100</f>
        <v>-3.1096124534525975</v>
      </c>
      <c r="F123" s="22">
        <f>(BALCONS!F123/BALCONS!$F$134)*100</f>
        <v>-1.001833791503814</v>
      </c>
      <c r="G123" s="22">
        <f>(BALCONS!G123/BALCONS!$G$134)*100</f>
        <v>-1.7790975107945344</v>
      </c>
      <c r="H123" s="22">
        <f>(BALCONS!H123/BALCONS!$H$134)*100</f>
        <v>-0.95914637819943871</v>
      </c>
      <c r="I123" s="22">
        <f>(BALCONS!I123/BALCONS!$I$134)*100</f>
        <v>-1.2132035041013085</v>
      </c>
      <c r="J123" s="22">
        <f>(BALCONS!J123/BALCONS!$J$134)*100</f>
        <v>-1.3049044504784384</v>
      </c>
      <c r="K123" s="79">
        <f>(BALCONS!K123/BALCONS!$K$134)*100</f>
        <v>-0.55571046730227736</v>
      </c>
    </row>
    <row r="124" spans="1:11" x14ac:dyDescent="0.2">
      <c r="A124" s="93">
        <v>118</v>
      </c>
      <c r="B124" s="20">
        <f>+BALANCE!B554</f>
        <v>19</v>
      </c>
      <c r="C124" s="21" t="str">
        <f>+BALANCE!C554</f>
        <v>OTROS ACTIVOS</v>
      </c>
      <c r="D124" s="22">
        <f>(BALCONS!D124/BALCONS!$D$134)*100</f>
        <v>3.5617774093866337</v>
      </c>
      <c r="E124" s="22">
        <f>(BALCONS!E124/BALCONS!$D$134)*100</f>
        <v>3.5617774093866337</v>
      </c>
      <c r="F124" s="22">
        <f>(BALCONS!F124/BALCONS!$F$134)*100</f>
        <v>0.10691230527445553</v>
      </c>
      <c r="G124" s="22">
        <f>(BALCONS!G124/BALCONS!$G$134)*100</f>
        <v>2.6641735342121873</v>
      </c>
      <c r="H124" s="22">
        <f>(BALCONS!H124/BALCONS!$H$134)*100</f>
        <v>22.911493987249845</v>
      </c>
      <c r="I124" s="22">
        <f>(BALCONS!I124/BALCONS!$I$134)*100</f>
        <v>10.786312586379026</v>
      </c>
      <c r="J124" s="22">
        <f>(BALCONS!J124/BALCONS!$J$134)*100</f>
        <v>10.436969838818333</v>
      </c>
      <c r="K124" s="79">
        <f>(BALCONS!K124/BALCONS!$K$134)*100</f>
        <v>0.64361110942387778</v>
      </c>
    </row>
    <row r="125" spans="1:11" x14ac:dyDescent="0.2">
      <c r="A125" s="93">
        <v>119</v>
      </c>
      <c r="B125" s="20">
        <f>+BALANCE!B555</f>
        <v>1901</v>
      </c>
      <c r="C125" s="21" t="str">
        <f>+BALANCE!C555</f>
        <v>Inversiones en acciones y participaciones</v>
      </c>
      <c r="D125" s="22">
        <f>(BALCONS!D125/BALCONS!$D$134)*100</f>
        <v>2.5966955544146924</v>
      </c>
      <c r="E125" s="22">
        <f>(BALCONS!E125/BALCONS!$D$134)*100</f>
        <v>2.5966955544146924</v>
      </c>
      <c r="F125" s="22">
        <f>(BALCONS!F125/BALCONS!$F$134)*100</f>
        <v>0</v>
      </c>
      <c r="G125" s="22">
        <f>(BALCONS!G125/BALCONS!$G$134)*100</f>
        <v>0.14850498212393448</v>
      </c>
      <c r="H125" s="22">
        <f>(BALCONS!H125/BALCONS!$H$134)*100</f>
        <v>20.428168485111183</v>
      </c>
      <c r="I125" s="22">
        <f>(BALCONS!I125/BALCONS!$I$134)*100</f>
        <v>8.9327596875788728</v>
      </c>
      <c r="J125" s="22">
        <f>(BALCONS!J125/BALCONS!$J$134)*100</f>
        <v>8.6263790002718999</v>
      </c>
      <c r="K125" s="79">
        <f>(BALCONS!K125/BALCONS!$K$134)*100</f>
        <v>0</v>
      </c>
    </row>
    <row r="126" spans="1:11" x14ac:dyDescent="0.2">
      <c r="A126" s="93">
        <v>120</v>
      </c>
      <c r="B126" s="20">
        <f>+BALANCE!B561</f>
        <v>1902</v>
      </c>
      <c r="C126" s="21" t="str">
        <f>+BALANCE!C561</f>
        <v>Derechos fiduciarios</v>
      </c>
      <c r="D126" s="22">
        <f>(BALCONS!D126/BALCONS!$D$134)*100</f>
        <v>3.4514011157903841</v>
      </c>
      <c r="E126" s="22">
        <f>(BALCONS!E126/BALCONS!$D$134)*100</f>
        <v>3.4514011157903841</v>
      </c>
      <c r="F126" s="22">
        <f>(BALCONS!F126/BALCONS!$F$134)*100</f>
        <v>0</v>
      </c>
      <c r="G126" s="22">
        <f>(BALCONS!G126/BALCONS!$G$134)*100</f>
        <v>0</v>
      </c>
      <c r="H126" s="22">
        <f>(BALCONS!H126/BALCONS!$H$134)*100</f>
        <v>1.5991588780895369</v>
      </c>
      <c r="I126" s="22">
        <f>(BALCONS!I126/BALCONS!$I$134)*100</f>
        <v>0.69583553053898473</v>
      </c>
      <c r="J126" s="22">
        <f>(BALCONS!J126/BALCONS!$J$134)*100</f>
        <v>0.82908103755804896</v>
      </c>
      <c r="K126" s="79">
        <f>(BALCONS!K126/BALCONS!$K$134)*100</f>
        <v>0</v>
      </c>
    </row>
    <row r="127" spans="1:11" x14ac:dyDescent="0.2">
      <c r="A127" s="93">
        <v>121</v>
      </c>
      <c r="B127" s="20">
        <f>+BALANCE!B582</f>
        <v>1903</v>
      </c>
      <c r="C127" s="21" t="str">
        <f>+BALANCE!C582</f>
        <v>Otras inversiones en participaciones</v>
      </c>
      <c r="D127" s="22">
        <f>(BALCONS!D127/BALCONS!$D$134)*100</f>
        <v>0</v>
      </c>
      <c r="E127" s="22">
        <f>(BALCONS!E127/BALCONS!$D$134)*100</f>
        <v>0</v>
      </c>
      <c r="F127" s="22">
        <f>(BALCONS!F127/BALCONS!$F$134)*100</f>
        <v>0</v>
      </c>
      <c r="G127" s="22">
        <f>(BALCONS!G127/BALCONS!$G$134)*100</f>
        <v>0</v>
      </c>
      <c r="H127" s="22">
        <f>(BALCONS!H127/BALCONS!$H$134)*100</f>
        <v>0</v>
      </c>
      <c r="I127" s="22">
        <f>(BALCONS!I127/BALCONS!$I$134)*100</f>
        <v>0</v>
      </c>
      <c r="J127" s="22">
        <f>(BALCONS!J127/BALCONS!$J$134)*100</f>
        <v>0</v>
      </c>
      <c r="K127" s="79">
        <f>(BALCONS!K127/BALCONS!$K$134)*100</f>
        <v>0</v>
      </c>
    </row>
    <row r="128" spans="1:11" x14ac:dyDescent="0.2">
      <c r="A128" s="93">
        <v>122</v>
      </c>
      <c r="B128" s="20">
        <f>+BALANCE!B585</f>
        <v>1904</v>
      </c>
      <c r="C128" s="21" t="str">
        <f>+BALANCE!C585</f>
        <v>Gastos y pagos anticipados</v>
      </c>
      <c r="D128" s="22">
        <f>(BALCONS!D128/BALCONS!$D$134)*100</f>
        <v>0.31939960977244142</v>
      </c>
      <c r="E128" s="22">
        <f>(BALCONS!E128/BALCONS!$D$134)*100</f>
        <v>0.31939960977244142</v>
      </c>
      <c r="F128" s="22">
        <f>(BALCONS!F128/BALCONS!$F$134)*100</f>
        <v>3.2396477239720001E-2</v>
      </c>
      <c r="G128" s="22">
        <f>(BALCONS!G128/BALCONS!$G$134)*100</f>
        <v>0.87752434806267465</v>
      </c>
      <c r="H128" s="22">
        <f>(BALCONS!H128/BALCONS!$H$134)*100</f>
        <v>0.60917551114162494</v>
      </c>
      <c r="I128" s="22">
        <f>(BALCONS!I128/BALCONS!$I$134)*100</f>
        <v>0.5333889101417153</v>
      </c>
      <c r="J128" s="22">
        <f>(BALCONS!J128/BALCONS!$J$134)*100</f>
        <v>0.52304144718276069</v>
      </c>
      <c r="K128" s="79">
        <f>(BALCONS!K128/BALCONS!$K$134)*100</f>
        <v>0.34233544913308672</v>
      </c>
    </row>
    <row r="129" spans="1:11" x14ac:dyDescent="0.2">
      <c r="A129" s="93">
        <v>123</v>
      </c>
      <c r="B129" s="20">
        <f>+BALANCE!B590</f>
        <v>1905</v>
      </c>
      <c r="C129" s="21" t="str">
        <f>+BALANCE!C590</f>
        <v>Gastos diferidos</v>
      </c>
      <c r="D129" s="22">
        <f>(BALCONS!D129/BALCONS!$D$134)*100</f>
        <v>2.4980296528605554E-2</v>
      </c>
      <c r="E129" s="22">
        <f>(BALCONS!E129/BALCONS!$D$134)*100</f>
        <v>2.4980296528605554E-2</v>
      </c>
      <c r="F129" s="22">
        <f>(BALCONS!F129/BALCONS!$F$134)*100</f>
        <v>2.1432897368894446E-2</v>
      </c>
      <c r="G129" s="22">
        <f>(BALCONS!G129/BALCONS!$G$134)*100</f>
        <v>0.26201171066333018</v>
      </c>
      <c r="H129" s="22">
        <f>(BALCONS!H129/BALCONS!$H$134)*100</f>
        <v>0.11199685803062373</v>
      </c>
      <c r="I129" s="22">
        <f>(BALCONS!I129/BALCONS!$I$134)*100</f>
        <v>0.13201197266206519</v>
      </c>
      <c r="J129" s="22">
        <f>(BALCONS!J129/BALCONS!$J$134)*100</f>
        <v>0.12683645079104358</v>
      </c>
      <c r="K129" s="79">
        <f>(BALCONS!K129/BALCONS!$K$134)*100</f>
        <v>2.805590142833906E-2</v>
      </c>
    </row>
    <row r="130" spans="1:11" x14ac:dyDescent="0.2">
      <c r="A130" s="93">
        <v>124</v>
      </c>
      <c r="B130" s="20">
        <f>+BALANCE!B599</f>
        <v>1906</v>
      </c>
      <c r="C130" s="21" t="str">
        <f>+BALANCE!C599</f>
        <v>Materiales, mercaderías e insumos</v>
      </c>
      <c r="D130" s="22">
        <f>(BALCONS!D130/BALCONS!$D$134)*100</f>
        <v>5.1308434950358257E-2</v>
      </c>
      <c r="E130" s="22">
        <f>(BALCONS!E130/BALCONS!$D$134)*100</f>
        <v>5.1308434950358257E-2</v>
      </c>
      <c r="F130" s="22">
        <f>(BALCONS!F130/BALCONS!$F$134)*100</f>
        <v>4.317290975755594E-3</v>
      </c>
      <c r="G130" s="22">
        <f>(BALCONS!G130/BALCONS!$G$134)*100</f>
        <v>8.6987596299056391E-2</v>
      </c>
      <c r="H130" s="22">
        <f>(BALCONS!H130/BALCONS!$H$134)*100</f>
        <v>1.1903435386086611E-2</v>
      </c>
      <c r="I130" s="22">
        <f>(BALCONS!I130/BALCONS!$I$134)*100</f>
        <v>3.2075233864399817E-2</v>
      </c>
      <c r="J130" s="22">
        <f>(BALCONS!J130/BALCONS!$J$134)*100</f>
        <v>3.3005256232226832E-2</v>
      </c>
      <c r="K130" s="79">
        <f>(BALCONS!K130/BALCONS!$K$134)*100</f>
        <v>2.4253436698524193E-2</v>
      </c>
    </row>
    <row r="131" spans="1:11" x14ac:dyDescent="0.2">
      <c r="A131" s="93">
        <v>125</v>
      </c>
      <c r="B131" s="20">
        <f>+BALANCE!B603</f>
        <v>1907</v>
      </c>
      <c r="C131" s="21" t="str">
        <f>+BALANCE!C603</f>
        <v>Fondo de seguro de depósitos  e hipotecas</v>
      </c>
      <c r="D131" s="22">
        <f>(BALCONS!D131/BALCONS!$D$134)*100</f>
        <v>1.1469236308214099E-4</v>
      </c>
      <c r="E131" s="22">
        <f>(BALCONS!E131/BALCONS!$D$134)*100</f>
        <v>1.1469236308214099E-4</v>
      </c>
      <c r="F131" s="22">
        <f>(BALCONS!F131/BALCONS!$F$134)*100</f>
        <v>0</v>
      </c>
      <c r="G131" s="22">
        <f>(BALCONS!G131/BALCONS!$G$134)*100</f>
        <v>0</v>
      </c>
      <c r="H131" s="22">
        <f>(BALCONS!H131/BALCONS!$H$134)*100</f>
        <v>0</v>
      </c>
      <c r="I131" s="22">
        <f>(BALCONS!I131/BALCONS!$I$134)*100</f>
        <v>0</v>
      </c>
      <c r="J131" s="22">
        <f>(BALCONS!J131/BALCONS!$J$134)*100</f>
        <v>5.5459547585764401E-6</v>
      </c>
      <c r="K131" s="79">
        <f>(BALCONS!K131/BALCONS!$K$134)*100</f>
        <v>0</v>
      </c>
    </row>
    <row r="132" spans="1:11" x14ac:dyDescent="0.2">
      <c r="A132" s="93">
        <v>126</v>
      </c>
      <c r="B132" s="20">
        <f>+BALANCE!B606</f>
        <v>1990</v>
      </c>
      <c r="C132" s="21" t="str">
        <f>+BALANCE!C606</f>
        <v>Otros</v>
      </c>
      <c r="D132" s="22">
        <f>(BALCONS!D132/BALCONS!$D$134)*100</f>
        <v>1.038287839485068E-2</v>
      </c>
      <c r="E132" s="22">
        <f>(BALCONS!E132/BALCONS!$D$134)*100</f>
        <v>1.038287839485068E-2</v>
      </c>
      <c r="F132" s="22">
        <f>(BALCONS!F132/BALCONS!$F$134)*100</f>
        <v>4.8770662483934003E-2</v>
      </c>
      <c r="G132" s="22">
        <f>(BALCONS!G132/BALCONS!$G$134)*100</f>
        <v>1.4149050286984997</v>
      </c>
      <c r="H132" s="22">
        <f>(BALCONS!H132/BALCONS!$H$134)*100</f>
        <v>0.37378746752918635</v>
      </c>
      <c r="I132" s="22">
        <f>(BALCONS!I132/BALCONS!$I$134)*100</f>
        <v>0.59434831500927066</v>
      </c>
      <c r="J132" s="22">
        <f>(BALCONS!J132/BALCONS!$J$134)*100</f>
        <v>0.56611063810556583</v>
      </c>
      <c r="K132" s="79">
        <f>(BALCONS!K132/BALCONS!$K$134)*100</f>
        <v>0.25495281542745862</v>
      </c>
    </row>
    <row r="133" spans="1:11" x14ac:dyDescent="0.2">
      <c r="A133" s="93">
        <v>127</v>
      </c>
      <c r="B133" s="20">
        <f>+BALANCE!B613</f>
        <v>1999</v>
      </c>
      <c r="C133" s="21" t="str">
        <f>+BALANCE!C613</f>
        <v>(Provisión para otros activos irrecuperables)</v>
      </c>
      <c r="D133" s="22">
        <f>(BALCONS!D133/BALCONS!$D$134)*100</f>
        <v>-2.8925051728277809</v>
      </c>
      <c r="E133" s="22">
        <f>(BALCONS!E133/BALCONS!$D$134)*100</f>
        <v>-2.8925051728277809</v>
      </c>
      <c r="F133" s="22">
        <f>(BALCONS!F133/BALCONS!$F$134)*100</f>
        <v>-5.0227938485196836E-6</v>
      </c>
      <c r="G133" s="22">
        <f>(BALCONS!G133/BALCONS!$G$134)*100</f>
        <v>-0.12576013163530816</v>
      </c>
      <c r="H133" s="22">
        <f>(BALCONS!H133/BALCONS!$H$134)*100</f>
        <v>-0.22269664803839864</v>
      </c>
      <c r="I133" s="22">
        <f>(BALCONS!I133/BALCONS!$I$134)*100</f>
        <v>-0.13410706341628365</v>
      </c>
      <c r="J133" s="22">
        <f>(BALCONS!J133/BALCONS!$J$134)*100</f>
        <v>-0.26748953727797209</v>
      </c>
      <c r="K133" s="79">
        <f>(BALCONS!K133/BALCONS!$K$134)*100</f>
        <v>-6.231392499992907E-3</v>
      </c>
    </row>
    <row r="134" spans="1:11" ht="15" x14ac:dyDescent="0.25">
      <c r="A134" s="93">
        <v>128</v>
      </c>
      <c r="B134" s="20"/>
      <c r="C134" s="24" t="str">
        <f>+BALANCE!C617</f>
        <v>TOTAL ACTIVO</v>
      </c>
      <c r="D134" s="81">
        <f>(BALCONS!D134/BALCONS!$D$134)*100</f>
        <v>100</v>
      </c>
      <c r="E134" s="81">
        <f>(BALCONS!E134/BALCONS!$D$134)*100</f>
        <v>100</v>
      </c>
      <c r="F134" s="81">
        <f>(BALCONS!F134/BALCONS!$F$134)*100</f>
        <v>100</v>
      </c>
      <c r="G134" s="81">
        <f>(BALCONS!G134/BALCONS!$G$134)*100</f>
        <v>100</v>
      </c>
      <c r="H134" s="81">
        <f>(BALCONS!H134/BALCONS!$H$134)*100</f>
        <v>100</v>
      </c>
      <c r="I134" s="81">
        <f>(BALCONS!I134/BALCONS!$I$134)*100</f>
        <v>100</v>
      </c>
      <c r="J134" s="81">
        <f>(BALCONS!J134/BALCONS!$J$134)*100</f>
        <v>100</v>
      </c>
      <c r="K134" s="82">
        <f>(BALCONS!K134/BALCONS!$K$134)*100</f>
        <v>100</v>
      </c>
    </row>
    <row r="135" spans="1:11" ht="15" x14ac:dyDescent="0.25">
      <c r="A135" s="93">
        <v>129</v>
      </c>
      <c r="B135" s="20"/>
      <c r="C135" s="24"/>
      <c r="D135" s="81"/>
      <c r="E135" s="81"/>
      <c r="F135" s="81"/>
      <c r="G135" s="81"/>
      <c r="H135" s="81"/>
      <c r="I135" s="81"/>
      <c r="J135" s="81"/>
      <c r="K135" s="82"/>
    </row>
    <row r="136" spans="1:11" ht="15" x14ac:dyDescent="0.25">
      <c r="A136" s="93">
        <v>130</v>
      </c>
      <c r="B136" s="20"/>
      <c r="C136" s="91" t="s">
        <v>747</v>
      </c>
      <c r="D136" s="81">
        <f>(BALCONS!D134/BALCONS!$E$134)*100</f>
        <v>100</v>
      </c>
      <c r="E136" s="81">
        <f>(BALCONS!E134/BALCONS!$E$134)*100</f>
        <v>100</v>
      </c>
      <c r="F136" s="81">
        <f>(BALCONS!F134/BALCONS!$I$134)*100</f>
        <v>26.903608603771701</v>
      </c>
      <c r="G136" s="81">
        <f>(BALCONS!G134/BALCONS!$I$134)*100</f>
        <v>29.583796114246262</v>
      </c>
      <c r="H136" s="81">
        <f>(BALCONS!H134/BALCONS!$I$134)*100</f>
        <v>43.512595281982037</v>
      </c>
      <c r="I136" s="81">
        <f>(BALCONS!I134/BALCONS!$I$134)*100</f>
        <v>100</v>
      </c>
      <c r="J136" s="81">
        <f>(BALCONS!J134/BALCONS!$J$134)*100</f>
        <v>100</v>
      </c>
      <c r="K136" s="82">
        <f>(BALCONS!K134/BALCONS!$K$134)*100</f>
        <v>100</v>
      </c>
    </row>
    <row r="137" spans="1:11" ht="15" x14ac:dyDescent="0.25">
      <c r="A137" s="93">
        <v>131</v>
      </c>
      <c r="B137" s="20"/>
      <c r="C137" s="24"/>
      <c r="D137" s="81"/>
      <c r="E137" s="81"/>
      <c r="F137" s="81"/>
      <c r="G137" s="81"/>
      <c r="H137" s="81"/>
      <c r="I137" s="81"/>
      <c r="J137" s="81"/>
      <c r="K137" s="82"/>
    </row>
    <row r="138" spans="1:11" ht="15" x14ac:dyDescent="0.25">
      <c r="A138" s="93">
        <v>132</v>
      </c>
      <c r="B138" s="20"/>
      <c r="C138" s="24" t="str">
        <f>+BALANCE!C623</f>
        <v>PASIVO</v>
      </c>
      <c r="D138" s="81"/>
      <c r="E138" s="81"/>
      <c r="F138" s="81"/>
      <c r="G138" s="81"/>
      <c r="H138" s="81"/>
      <c r="I138" s="81"/>
      <c r="J138" s="81"/>
      <c r="K138" s="82"/>
    </row>
    <row r="139" spans="1:11" x14ac:dyDescent="0.2">
      <c r="A139" s="93">
        <v>133</v>
      </c>
      <c r="B139" s="20">
        <f>+BALANCE!B624</f>
        <v>21</v>
      </c>
      <c r="C139" s="21" t="str">
        <f>+BALANCE!C624</f>
        <v>OBLIGACIONES CON EL PUBLICO</v>
      </c>
      <c r="D139" s="22">
        <f>(BALCONS!D141/BALCONS!$D$197)*100</f>
        <v>87.200034561466879</v>
      </c>
      <c r="E139" s="22">
        <f>(BALCONS!E141/BALCONS!$D$197)*100</f>
        <v>87.200034561466879</v>
      </c>
      <c r="F139" s="22">
        <f>(BALCONS!F141/BALCONS!$F$197)*100</f>
        <v>45.954931184554034</v>
      </c>
      <c r="G139" s="22">
        <f>(BALCONS!G141/BALCONS!$G$197)*100</f>
        <v>90.587128328278922</v>
      </c>
      <c r="H139" s="22">
        <f>(BALCONS!H141/BALCONS!$H$197)*100</f>
        <v>88.120918795682641</v>
      </c>
      <c r="I139" s="22">
        <f>(BALCONS!I141/BALCONS!$I$197)*100</f>
        <v>77.341907786251966</v>
      </c>
      <c r="J139" s="22">
        <f>(BALCONS!J141/BALCONS!$J$197)*100</f>
        <v>77.849341183623423</v>
      </c>
      <c r="K139" s="79">
        <f>(BALCONS!K141/BALCONS!$K$197)*100</f>
        <v>0</v>
      </c>
    </row>
    <row r="140" spans="1:11" x14ac:dyDescent="0.2">
      <c r="A140" s="93">
        <v>134</v>
      </c>
      <c r="B140" s="20">
        <f>+BALANCE!B625</f>
        <v>2101</v>
      </c>
      <c r="C140" s="21" t="str">
        <f>+BALANCE!C625</f>
        <v>Depósitos a la vista</v>
      </c>
      <c r="D140" s="22">
        <f>(BALCONS!D142/BALCONS!$D$197)*100</f>
        <v>11.326007365331192</v>
      </c>
      <c r="E140" s="22">
        <f>(BALCONS!E142/BALCONS!$D$197)*100</f>
        <v>11.326007365331192</v>
      </c>
      <c r="F140" s="22">
        <f>(BALCONS!F142/BALCONS!$F$197)*100</f>
        <v>0</v>
      </c>
      <c r="G140" s="22">
        <f>(BALCONS!G142/BALCONS!$G$197)*100</f>
        <v>62.355237502835926</v>
      </c>
      <c r="H140" s="22">
        <f>(BALCONS!H142/BALCONS!$H$197)*100</f>
        <v>0</v>
      </c>
      <c r="I140" s="22">
        <f>(BALCONS!I142/BALCONS!$I$197)*100</f>
        <v>20.49365545244871</v>
      </c>
      <c r="J140" s="22">
        <f>(BALCONS!J142/BALCONS!$J$197)*100</f>
        <v>20.021763487491633</v>
      </c>
      <c r="K140" s="79">
        <f>(BALCONS!K142/BALCONS!$K$197)*100</f>
        <v>0</v>
      </c>
    </row>
    <row r="141" spans="1:11" x14ac:dyDescent="0.2">
      <c r="A141" s="93">
        <v>135</v>
      </c>
      <c r="B141" s="20">
        <f>+BALANCE!B626</f>
        <v>210105</v>
      </c>
      <c r="C141" s="21" t="str">
        <f>+BALANCE!C626</f>
        <v>Depósitos monetarios que generan intereses</v>
      </c>
      <c r="D141" s="22">
        <f>(BALCONS!D143/BALCONS!$D$197)*100</f>
        <v>0</v>
      </c>
      <c r="E141" s="22">
        <f>(BALCONS!E143/BALCONS!$D$197)*100</f>
        <v>0</v>
      </c>
      <c r="F141" s="22">
        <f>(BALCONS!F143/BALCONS!$F$197)*100</f>
        <v>0</v>
      </c>
      <c r="G141" s="22">
        <f>(BALCONS!G143/BALCONS!$G$197)*100</f>
        <v>14.22988473958346</v>
      </c>
      <c r="H141" s="22">
        <f>(BALCONS!H143/BALCONS!$H$197)*100</f>
        <v>0</v>
      </c>
      <c r="I141" s="22">
        <f>(BALCONS!I143/BALCONS!$I$197)*100</f>
        <v>4.6767900606235076</v>
      </c>
      <c r="J141" s="22">
        <f>(BALCONS!J143/BALCONS!$J$197)*100</f>
        <v>4.4360587814090957</v>
      </c>
      <c r="K141" s="79">
        <f>(BALCONS!K143/BALCONS!$K$197)*100</f>
        <v>0</v>
      </c>
    </row>
    <row r="142" spans="1:11" x14ac:dyDescent="0.2">
      <c r="A142" s="93">
        <v>136</v>
      </c>
      <c r="B142" s="20">
        <f>+BALANCE!B627</f>
        <v>210110</v>
      </c>
      <c r="C142" s="21" t="str">
        <f>+BALANCE!C627</f>
        <v>Depósitos monetarios que no generan intereses</v>
      </c>
      <c r="D142" s="22">
        <f>(BALCONS!D144/BALCONS!$D$197)*100</f>
        <v>0</v>
      </c>
      <c r="E142" s="22">
        <f>(BALCONS!E144/BALCONS!$D$197)*100</f>
        <v>0</v>
      </c>
      <c r="F142" s="22">
        <f>(BALCONS!F144/BALCONS!$F$197)*100</f>
        <v>0</v>
      </c>
      <c r="G142" s="22">
        <f>(BALCONS!G144/BALCONS!$G$197)*100</f>
        <v>4.5858707205030296</v>
      </c>
      <c r="H142" s="22">
        <f>(BALCONS!H144/BALCONS!$H$197)*100</f>
        <v>0</v>
      </c>
      <c r="I142" s="22">
        <f>(BALCONS!I144/BALCONS!$I$197)*100</f>
        <v>1.5071910277173992</v>
      </c>
      <c r="J142" s="22">
        <f>(BALCONS!J144/BALCONS!$J$197)*100</f>
        <v>1.4296104608286386</v>
      </c>
      <c r="K142" s="79">
        <f>(BALCONS!K144/BALCONS!$K$197)*100</f>
        <v>0</v>
      </c>
    </row>
    <row r="143" spans="1:11" x14ac:dyDescent="0.2">
      <c r="A143" s="93">
        <v>137</v>
      </c>
      <c r="B143" s="20">
        <f>+BALANCE!B628</f>
        <v>210115</v>
      </c>
      <c r="C143" s="21" t="str">
        <f>+BALANCE!C628</f>
        <v>Depósitos monetarios de instituciones financieras</v>
      </c>
      <c r="D143" s="22">
        <f>(BALCONS!D145/BALCONS!$D$197)*100</f>
        <v>0</v>
      </c>
      <c r="E143" s="22">
        <f>(BALCONS!E145/BALCONS!$D$197)*100</f>
        <v>0</v>
      </c>
      <c r="F143" s="22">
        <f>(BALCONS!F145/BALCONS!$F$197)*100</f>
        <v>0</v>
      </c>
      <c r="G143" s="22">
        <f>(BALCONS!G145/BALCONS!$G$197)*100</f>
        <v>0.3629944751186493</v>
      </c>
      <c r="H143" s="22">
        <f>(BALCONS!H145/BALCONS!$H$197)*100</f>
        <v>0</v>
      </c>
      <c r="I143" s="22">
        <f>(BALCONS!I145/BALCONS!$I$197)*100</f>
        <v>0.11930166578045243</v>
      </c>
      <c r="J143" s="22">
        <f>(BALCONS!J145/BALCONS!$J$197)*100</f>
        <v>0.11316077806827027</v>
      </c>
      <c r="K143" s="79">
        <f>(BALCONS!K145/BALCONS!$K$197)*100</f>
        <v>0</v>
      </c>
    </row>
    <row r="144" spans="1:11" x14ac:dyDescent="0.2">
      <c r="A144" s="93">
        <v>138</v>
      </c>
      <c r="B144" s="20">
        <f>+BALANCE!B629</f>
        <v>210120</v>
      </c>
      <c r="C144" s="21" t="str">
        <f>+BALANCE!C629</f>
        <v>Ejecución  presupuestaria</v>
      </c>
      <c r="D144" s="22">
        <f>(BALCONS!D146/BALCONS!$D$197)*100</f>
        <v>0</v>
      </c>
      <c r="E144" s="22">
        <f>(BALCONS!E146/BALCONS!$D$197)*100</f>
        <v>0</v>
      </c>
      <c r="F144" s="22">
        <f>(BALCONS!F146/BALCONS!$F$197)*100</f>
        <v>0</v>
      </c>
      <c r="G144" s="22">
        <f>(BALCONS!G146/BALCONS!$G$197)*100</f>
        <v>0</v>
      </c>
      <c r="H144" s="22">
        <f>(BALCONS!H146/BALCONS!$H$197)*100</f>
        <v>0</v>
      </c>
      <c r="I144" s="22">
        <f>(BALCONS!I146/BALCONS!$I$197)*100</f>
        <v>0</v>
      </c>
      <c r="J144" s="22">
        <f>(BALCONS!J146/BALCONS!$J$197)*100</f>
        <v>0</v>
      </c>
      <c r="K144" s="79">
        <f>(BALCONS!K146/BALCONS!$K$197)*100</f>
        <v>0</v>
      </c>
    </row>
    <row r="145" spans="1:11" x14ac:dyDescent="0.2">
      <c r="A145" s="93">
        <v>139</v>
      </c>
      <c r="B145" s="20">
        <f>+BALANCE!B630</f>
        <v>210125</v>
      </c>
      <c r="C145" s="21" t="str">
        <f>+BALANCE!C630</f>
        <v>Depósitos de otras instituciones para encaje</v>
      </c>
      <c r="D145" s="22">
        <f>(BALCONS!D147/BALCONS!$D$197)*100</f>
        <v>0</v>
      </c>
      <c r="E145" s="22">
        <f>(BALCONS!E147/BALCONS!$D$197)*100</f>
        <v>0</v>
      </c>
      <c r="F145" s="22">
        <f>(BALCONS!F147/BALCONS!$F$197)*100</f>
        <v>0</v>
      </c>
      <c r="G145" s="22">
        <f>(BALCONS!G147/BALCONS!$G$197)*100</f>
        <v>0.20810635641525832</v>
      </c>
      <c r="H145" s="22">
        <f>(BALCONS!H147/BALCONS!$H$197)*100</f>
        <v>0</v>
      </c>
      <c r="I145" s="22">
        <f>(BALCONS!I147/BALCONS!$I$197)*100</f>
        <v>6.8396178679374392E-2</v>
      </c>
      <c r="J145" s="22">
        <f>(BALCONS!J147/BALCONS!$J$197)*100</f>
        <v>6.4875580283159845E-2</v>
      </c>
      <c r="K145" s="79">
        <f>(BALCONS!K147/BALCONS!$K$197)*100</f>
        <v>0</v>
      </c>
    </row>
    <row r="146" spans="1:11" x14ac:dyDescent="0.2">
      <c r="A146" s="93">
        <v>140</v>
      </c>
      <c r="B146" s="20">
        <f>+BALANCE!B631</f>
        <v>210130</v>
      </c>
      <c r="C146" s="21" t="str">
        <f>+BALANCE!C631</f>
        <v>Cheques certificados</v>
      </c>
      <c r="D146" s="22">
        <f>(BALCONS!D148/BALCONS!$D$197)*100</f>
        <v>0</v>
      </c>
      <c r="E146" s="22">
        <f>(BALCONS!E148/BALCONS!$D$197)*100</f>
        <v>0</v>
      </c>
      <c r="F146" s="22">
        <f>(BALCONS!F148/BALCONS!$F$197)*100</f>
        <v>0</v>
      </c>
      <c r="G146" s="22">
        <f>(BALCONS!G148/BALCONS!$G$197)*100</f>
        <v>3.7340558717778673E-2</v>
      </c>
      <c r="H146" s="22">
        <f>(BALCONS!H148/BALCONS!$H$197)*100</f>
        <v>0</v>
      </c>
      <c r="I146" s="22">
        <f>(BALCONS!I148/BALCONS!$I$197)*100</f>
        <v>1.2272337904723441E-2</v>
      </c>
      <c r="J146" s="22">
        <f>(BALCONS!J148/BALCONS!$J$197)*100</f>
        <v>1.164063633923523E-2</v>
      </c>
      <c r="K146" s="79">
        <f>(BALCONS!K148/BALCONS!$K$197)*100</f>
        <v>0</v>
      </c>
    </row>
    <row r="147" spans="1:11" x14ac:dyDescent="0.2">
      <c r="A147" s="93">
        <v>141</v>
      </c>
      <c r="B147" s="20">
        <f>+BALANCE!B632</f>
        <v>210135</v>
      </c>
      <c r="C147" s="21" t="str">
        <f>+BALANCE!C632</f>
        <v>Depósitos de ahorro</v>
      </c>
      <c r="D147" s="22">
        <f>(BALCONS!D149/BALCONS!$D$197)*100</f>
        <v>11.323896915709446</v>
      </c>
      <c r="E147" s="22">
        <f>(BALCONS!E149/BALCONS!$D$197)*100</f>
        <v>11.323896915709446</v>
      </c>
      <c r="F147" s="22">
        <f>(BALCONS!F149/BALCONS!$F$197)*100</f>
        <v>0</v>
      </c>
      <c r="G147" s="22">
        <f>(BALCONS!G149/BALCONS!$G$197)*100</f>
        <v>30.624327262876449</v>
      </c>
      <c r="H147" s="22">
        <f>(BALCONS!H149/BALCONS!$H$197)*100</f>
        <v>0</v>
      </c>
      <c r="I147" s="22">
        <f>(BALCONS!I149/BALCONS!$I$197)*100</f>
        <v>10.064983095604086</v>
      </c>
      <c r="J147" s="22">
        <f>(BALCONS!J149/BALCONS!$J$197)*100</f>
        <v>10.129783937721481</v>
      </c>
      <c r="K147" s="79">
        <f>(BALCONS!K149/BALCONS!$K$197)*100</f>
        <v>0</v>
      </c>
    </row>
    <row r="148" spans="1:11" x14ac:dyDescent="0.2">
      <c r="A148" s="93">
        <v>142</v>
      </c>
      <c r="B148" s="20">
        <f>+BALANCE!B633</f>
        <v>210140</v>
      </c>
      <c r="C148" s="21" t="str">
        <f>+BALANCE!C633</f>
        <v>Otros depósitos</v>
      </c>
      <c r="D148" s="22">
        <f>(BALCONS!D150/BALCONS!$D$197)*100</f>
        <v>0</v>
      </c>
      <c r="E148" s="22">
        <f>(BALCONS!E150/BALCONS!$D$197)*100</f>
        <v>0</v>
      </c>
      <c r="F148" s="22">
        <f>(BALCONS!F150/BALCONS!$F$197)*100</f>
        <v>0</v>
      </c>
      <c r="G148" s="22">
        <f>(BALCONS!G150/BALCONS!$G$197)*100</f>
        <v>11.955447615932679</v>
      </c>
      <c r="H148" s="22">
        <f>(BALCONS!H150/BALCONS!$H$197)*100</f>
        <v>0</v>
      </c>
      <c r="I148" s="22">
        <f>(BALCONS!I150/BALCONS!$I$197)*100</f>
        <v>3.929274172190917</v>
      </c>
      <c r="J148" s="22">
        <f>(BALCONS!J150/BALCONS!$J$197)*100</f>
        <v>3.7270202361377001</v>
      </c>
      <c r="K148" s="79">
        <f>(BALCONS!K150/BALCONS!$K$197)*100</f>
        <v>0</v>
      </c>
    </row>
    <row r="149" spans="1:11" x14ac:dyDescent="0.2">
      <c r="A149" s="93">
        <v>143</v>
      </c>
      <c r="B149" s="20">
        <f>+BALANCE!B634</f>
        <v>210145</v>
      </c>
      <c r="C149" s="21" t="str">
        <f>+BALANCE!C634</f>
        <v>Fondos de tarjetahabientes</v>
      </c>
      <c r="D149" s="22">
        <f>(BALCONS!D151/BALCONS!$D$197)*100</f>
        <v>0</v>
      </c>
      <c r="E149" s="22">
        <f>(BALCONS!E151/BALCONS!$D$197)*100</f>
        <v>0</v>
      </c>
      <c r="F149" s="22">
        <f>(BALCONS!F151/BALCONS!$F$197)*100</f>
        <v>0</v>
      </c>
      <c r="G149" s="22">
        <f>(BALCONS!G151/BALCONS!$G$197)*100</f>
        <v>0</v>
      </c>
      <c r="H149" s="22">
        <f>(BALCONS!H151/BALCONS!$H$197)*100</f>
        <v>0</v>
      </c>
      <c r="I149" s="22">
        <f>(BALCONS!I151/BALCONS!$I$197)*100</f>
        <v>0</v>
      </c>
      <c r="J149" s="22">
        <f>(BALCONS!J151/BALCONS!$J$197)*100</f>
        <v>0</v>
      </c>
      <c r="K149" s="79">
        <f>(BALCONS!K151/BALCONS!$K$197)*100</f>
        <v>0</v>
      </c>
    </row>
    <row r="150" spans="1:11" x14ac:dyDescent="0.2">
      <c r="A150" s="93">
        <v>144</v>
      </c>
      <c r="B150" s="20">
        <f>+BALANCE!B635</f>
        <v>210150</v>
      </c>
      <c r="C150" s="21" t="str">
        <f>+BALANCE!C635</f>
        <v>Depósitos por confirmar</v>
      </c>
      <c r="D150" s="22">
        <f>(BALCONS!D152/BALCONS!$D$197)*100</f>
        <v>2.1104496217449857E-3</v>
      </c>
      <c r="E150" s="22">
        <f>(BALCONS!E152/BALCONS!$D$197)*100</f>
        <v>2.1104496217449857E-3</v>
      </c>
      <c r="F150" s="22">
        <f>(BALCONS!F152/BALCONS!$F$197)*100</f>
        <v>0</v>
      </c>
      <c r="G150" s="22">
        <f>(BALCONS!G152/BALCONS!$G$197)*100</f>
        <v>0.35126577368862821</v>
      </c>
      <c r="H150" s="22">
        <f>(BALCONS!H152/BALCONS!$H$197)*100</f>
        <v>0</v>
      </c>
      <c r="I150" s="22">
        <f>(BALCONS!I152/BALCONS!$I$197)*100</f>
        <v>0.11544691394824967</v>
      </c>
      <c r="J150" s="22">
        <f>(BALCONS!J152/BALCONS!$J$197)*100</f>
        <v>0.10961307670405218</v>
      </c>
      <c r="K150" s="79">
        <f>(BALCONS!K152/BALCONS!$K$197)*100</f>
        <v>0</v>
      </c>
    </row>
    <row r="151" spans="1:11" x14ac:dyDescent="0.2">
      <c r="A151" s="93">
        <v>145</v>
      </c>
      <c r="B151" s="20">
        <f>+BALANCE!B636</f>
        <v>210155</v>
      </c>
      <c r="C151" s="21" t="str">
        <f>+BALANCE!C636</f>
        <v>Depósitos de cuenta básica</v>
      </c>
      <c r="D151" s="22">
        <f>(BALCONS!D153/BALCONS!$D$197)*100</f>
        <v>0</v>
      </c>
      <c r="E151" s="22">
        <f>(BALCONS!E153/BALCONS!$D$197)*100</f>
        <v>0</v>
      </c>
      <c r="F151" s="22">
        <f>(BALCONS!F153/BALCONS!$F$197)*100</f>
        <v>0</v>
      </c>
      <c r="G151" s="22">
        <f>(BALCONS!G153/BALCONS!$G$197)*100</f>
        <v>0</v>
      </c>
      <c r="H151" s="22">
        <f>(BALCONS!H153/BALCONS!$H$197)*100</f>
        <v>0</v>
      </c>
      <c r="I151" s="22">
        <f>(BALCONS!I153/BALCONS!$I$197)*100</f>
        <v>0</v>
      </c>
      <c r="J151" s="22">
        <f>(BALCONS!J153/BALCONS!$J$197)*100</f>
        <v>0</v>
      </c>
      <c r="K151" s="79">
        <f>(BALCONS!K153/BALCONS!$K$197)*100</f>
        <v>0</v>
      </c>
    </row>
    <row r="152" spans="1:11" x14ac:dyDescent="0.2">
      <c r="A152" s="93">
        <v>146</v>
      </c>
      <c r="B152" s="20">
        <f>+BALANCE!B637</f>
        <v>2102</v>
      </c>
      <c r="C152" s="21" t="str">
        <f>+BALANCE!C637</f>
        <v>Operaciones de reporto</v>
      </c>
      <c r="D152" s="22">
        <f>(BALCONS!D154/BALCONS!$D$197)*100</f>
        <v>0</v>
      </c>
      <c r="E152" s="22">
        <f>(BALCONS!E154/BALCONS!$D$197)*100</f>
        <v>0</v>
      </c>
      <c r="F152" s="22">
        <f>(BALCONS!F154/BALCONS!$F$197)*100</f>
        <v>0</v>
      </c>
      <c r="G152" s="22">
        <f>(BALCONS!G154/BALCONS!$G$197)*100</f>
        <v>0</v>
      </c>
      <c r="H152" s="22">
        <f>(BALCONS!H154/BALCONS!$H$197)*100</f>
        <v>0</v>
      </c>
      <c r="I152" s="22">
        <f>(BALCONS!I154/BALCONS!$I$197)*100</f>
        <v>0</v>
      </c>
      <c r="J152" s="22">
        <f>(BALCONS!J154/BALCONS!$J$197)*100</f>
        <v>0</v>
      </c>
      <c r="K152" s="79">
        <f>(BALCONS!K154/BALCONS!$K$197)*100</f>
        <v>0</v>
      </c>
    </row>
    <row r="153" spans="1:11" x14ac:dyDescent="0.2">
      <c r="A153" s="93">
        <v>147</v>
      </c>
      <c r="B153" s="20">
        <f>+BALANCE!B640</f>
        <v>210215</v>
      </c>
      <c r="C153" s="21" t="str">
        <f>+BALANCE!C640</f>
        <v>Operaciones de reporto bursátil</v>
      </c>
      <c r="D153" s="22">
        <f>(BALCONS!D155/BALCONS!$D$197)*100</f>
        <v>0</v>
      </c>
      <c r="E153" s="22">
        <f>(BALCONS!E155/BALCONS!$D$197)*100</f>
        <v>0</v>
      </c>
      <c r="F153" s="22">
        <f>(BALCONS!F155/BALCONS!$F$197)*100</f>
        <v>0</v>
      </c>
      <c r="G153" s="22">
        <f>(BALCONS!G155/BALCONS!$G$197)*100</f>
        <v>0</v>
      </c>
      <c r="H153" s="22">
        <f>(BALCONS!H155/BALCONS!$H$197)*100</f>
        <v>0</v>
      </c>
      <c r="I153" s="22">
        <f>(BALCONS!I155/BALCONS!$I$197)*100</f>
        <v>0</v>
      </c>
      <c r="J153" s="22">
        <f>(BALCONS!J155/BALCONS!$J$197)*100</f>
        <v>0</v>
      </c>
      <c r="K153" s="79">
        <f>(BALCONS!K155/BALCONS!$K$197)*100</f>
        <v>0</v>
      </c>
    </row>
    <row r="154" spans="1:11" x14ac:dyDescent="0.2">
      <c r="A154" s="93">
        <v>148</v>
      </c>
      <c r="B154" s="20">
        <f>+BALANCE!B641</f>
        <v>2103</v>
      </c>
      <c r="C154" s="21" t="str">
        <f>+BALANCE!C641</f>
        <v>Depósitos a plazo</v>
      </c>
      <c r="D154" s="22">
        <f>(BALCONS!D156/BALCONS!$D$197)*100</f>
        <v>61.310040031918689</v>
      </c>
      <c r="E154" s="22">
        <f>(BALCONS!E156/BALCONS!$D$197)*100</f>
        <v>61.310040031918689</v>
      </c>
      <c r="F154" s="22">
        <f>(BALCONS!F156/BALCONS!$F$197)*100</f>
        <v>45.954931184554034</v>
      </c>
      <c r="G154" s="22">
        <f>(BALCONS!G156/BALCONS!$G$197)*100</f>
        <v>28.117856065945706</v>
      </c>
      <c r="H154" s="22">
        <f>(BALCONS!H156/BALCONS!$H$197)*100</f>
        <v>88.120918795682641</v>
      </c>
      <c r="I154" s="22">
        <f>(BALCONS!I156/BALCONS!$I$197)*100</f>
        <v>56.810773700663034</v>
      </c>
      <c r="J154" s="22">
        <f>(BALCONS!J156/BALCONS!$J$197)*100</f>
        <v>57.042367192226585</v>
      </c>
      <c r="K154" s="79">
        <f>(BALCONS!K156/BALCONS!$K$197)*100</f>
        <v>0</v>
      </c>
    </row>
    <row r="155" spans="1:11" x14ac:dyDescent="0.2">
      <c r="A155" s="93">
        <v>149</v>
      </c>
      <c r="B155" s="20">
        <f>+BALANCE!B648</f>
        <v>2104</v>
      </c>
      <c r="C155" s="21" t="str">
        <f>+BALANCE!C648</f>
        <v>Depósitos de garantía</v>
      </c>
      <c r="D155" s="22">
        <f>(BALCONS!D157/BALCONS!$D$197)*100</f>
        <v>14.563987164216996</v>
      </c>
      <c r="E155" s="22">
        <f>(BALCONS!E157/BALCONS!$D$197)*100</f>
        <v>14.563987164216996</v>
      </c>
      <c r="F155" s="22">
        <f>(BALCONS!F157/BALCONS!$F$197)*100</f>
        <v>0</v>
      </c>
      <c r="G155" s="22">
        <f>(BALCONS!G157/BALCONS!$G$197)*100</f>
        <v>0.11403475949727969</v>
      </c>
      <c r="H155" s="22">
        <f>(BALCONS!H157/BALCONS!$H$197)*100</f>
        <v>0</v>
      </c>
      <c r="I155" s="22">
        <f>(BALCONS!I157/BALCONS!$I$197)*100</f>
        <v>3.7478633140220437E-2</v>
      </c>
      <c r="J155" s="22">
        <f>(BALCONS!J157/BALCONS!$J$197)*100</f>
        <v>0.78521050390522007</v>
      </c>
      <c r="K155" s="79">
        <f>(BALCONS!K157/BALCONS!$K$197)*100</f>
        <v>0</v>
      </c>
    </row>
    <row r="156" spans="1:11" x14ac:dyDescent="0.2">
      <c r="A156" s="93">
        <v>150</v>
      </c>
      <c r="B156" s="20">
        <f>+BALANCE!B649</f>
        <v>2105</v>
      </c>
      <c r="C156" s="21" t="str">
        <f>+BALANCE!C649</f>
        <v>Depósitos restringidos</v>
      </c>
      <c r="D156" s="22">
        <f>(BALCONS!D158/BALCONS!$D$197)*100</f>
        <v>0</v>
      </c>
      <c r="E156" s="22">
        <f>(BALCONS!E158/BALCONS!$D$197)*100</f>
        <v>0</v>
      </c>
      <c r="F156" s="22">
        <f>(BALCONS!F158/BALCONS!$F$197)*100</f>
        <v>0</v>
      </c>
      <c r="G156" s="22">
        <f>(BALCONS!G158/BALCONS!$G$197)*100</f>
        <v>0</v>
      </c>
      <c r="H156" s="22">
        <f>(BALCONS!H158/BALCONS!$H$197)*100</f>
        <v>0</v>
      </c>
      <c r="I156" s="22">
        <f>(BALCONS!I158/BALCONS!$I$197)*100</f>
        <v>0</v>
      </c>
      <c r="J156" s="22">
        <f>(BALCONS!J158/BALCONS!$J$197)*100</f>
        <v>0</v>
      </c>
      <c r="K156" s="79">
        <f>(BALCONS!K158/BALCONS!$K$197)*100</f>
        <v>0</v>
      </c>
    </row>
    <row r="157" spans="1:11" x14ac:dyDescent="0.2">
      <c r="A157" s="93">
        <v>151</v>
      </c>
      <c r="B157" s="20">
        <f>+BALANCE!B650</f>
        <v>22</v>
      </c>
      <c r="C157" s="21" t="str">
        <f>+BALANCE!C650</f>
        <v>OPERACIONES INTERBANCARIAS</v>
      </c>
      <c r="D157" s="22">
        <f>(BALCONS!D159/BALCONS!$D$197)*100</f>
        <v>0</v>
      </c>
      <c r="E157" s="22">
        <f>(BALCONS!E159/BALCONS!$D$197)*100</f>
        <v>0</v>
      </c>
      <c r="F157" s="22">
        <f>(BALCONS!F159/BALCONS!$F$197)*100</f>
        <v>0</v>
      </c>
      <c r="G157" s="22">
        <f>(BALCONS!G159/BALCONS!$G$197)*100</f>
        <v>0</v>
      </c>
      <c r="H157" s="22">
        <f>(BALCONS!H159/BALCONS!$H$197)*100</f>
        <v>4.8857262312821011E-2</v>
      </c>
      <c r="I157" s="22">
        <f>(BALCONS!I159/BALCONS!$I$197)*100</f>
        <v>1.937115912354424E-2</v>
      </c>
      <c r="J157" s="22">
        <f>(BALCONS!J159/BALCONS!$J$197)*100</f>
        <v>1.8374055585598594E-2</v>
      </c>
      <c r="K157" s="79">
        <f>(BALCONS!K159/BALCONS!$K$197)*100</f>
        <v>0</v>
      </c>
    </row>
    <row r="158" spans="1:11" x14ac:dyDescent="0.2">
      <c r="A158" s="93">
        <v>152</v>
      </c>
      <c r="B158" s="20">
        <f>+BALANCE!B651</f>
        <v>2201</v>
      </c>
      <c r="C158" s="21" t="str">
        <f>+BALANCE!C651</f>
        <v>Fondos interbancarios comprados</v>
      </c>
      <c r="D158" s="22">
        <f>(BALCONS!D160/BALCONS!$D$197)*100</f>
        <v>0</v>
      </c>
      <c r="E158" s="22">
        <f>(BALCONS!E160/BALCONS!$D$197)*100</f>
        <v>0</v>
      </c>
      <c r="F158" s="22">
        <f>(BALCONS!F160/BALCONS!$F$197)*100</f>
        <v>0</v>
      </c>
      <c r="G158" s="22">
        <f>(BALCONS!G160/BALCONS!$G$197)*100</f>
        <v>0</v>
      </c>
      <c r="H158" s="22">
        <f>(BALCONS!H160/BALCONS!$H$197)*100</f>
        <v>0</v>
      </c>
      <c r="I158" s="22">
        <f>(BALCONS!I160/BALCONS!$I$197)*100</f>
        <v>0</v>
      </c>
      <c r="J158" s="22">
        <f>(BALCONS!J160/BALCONS!$J$197)*100</f>
        <v>0</v>
      </c>
      <c r="K158" s="79">
        <f>(BALCONS!K160/BALCONS!$K$197)*100</f>
        <v>0</v>
      </c>
    </row>
    <row r="159" spans="1:11" x14ac:dyDescent="0.2">
      <c r="A159" s="93">
        <v>153</v>
      </c>
      <c r="B159" s="20">
        <f>+BALANCE!B654</f>
        <v>2202</v>
      </c>
      <c r="C159" s="21" t="str">
        <f>+BALANCE!C654</f>
        <v>Operaciones de reporto con instituciones financieras</v>
      </c>
      <c r="D159" s="22">
        <f>(BALCONS!D161/BALCONS!$D$197)*100</f>
        <v>0</v>
      </c>
      <c r="E159" s="22">
        <f>(BALCONS!E161/BALCONS!$D$197)*100</f>
        <v>0</v>
      </c>
      <c r="F159" s="22">
        <f>(BALCONS!F161/BALCONS!$F$197)*100</f>
        <v>0</v>
      </c>
      <c r="G159" s="22">
        <f>(BALCONS!G161/BALCONS!$G$197)*100</f>
        <v>0</v>
      </c>
      <c r="H159" s="22">
        <f>(BALCONS!H161/BALCONS!$H$197)*100</f>
        <v>4.8857262312821011E-2</v>
      </c>
      <c r="I159" s="22">
        <f>(BALCONS!I161/BALCONS!$I$197)*100</f>
        <v>1.937115912354424E-2</v>
      </c>
      <c r="J159" s="22">
        <f>(BALCONS!J161/BALCONS!$J$197)*100</f>
        <v>1.8374055585598594E-2</v>
      </c>
      <c r="K159" s="79">
        <f>(BALCONS!K161/BALCONS!$K$197)*100</f>
        <v>0</v>
      </c>
    </row>
    <row r="160" spans="1:11" x14ac:dyDescent="0.2">
      <c r="A160" s="93">
        <v>154</v>
      </c>
      <c r="B160" s="20">
        <f>+BALANCE!B658</f>
        <v>2203</v>
      </c>
      <c r="C160" s="21" t="str">
        <f>+BALANCE!C658</f>
        <v>Operaciones por confirmar</v>
      </c>
      <c r="D160" s="22">
        <f>(BALCONS!D162/BALCONS!$D$197)*100</f>
        <v>0</v>
      </c>
      <c r="E160" s="22">
        <f>(BALCONS!E162/BALCONS!$D$197)*100</f>
        <v>0</v>
      </c>
      <c r="F160" s="22">
        <f>(BALCONS!F162/BALCONS!$F$197)*100</f>
        <v>0</v>
      </c>
      <c r="G160" s="22">
        <f>(BALCONS!G162/BALCONS!$G$197)*100</f>
        <v>0</v>
      </c>
      <c r="H160" s="22">
        <f>(BALCONS!H162/BALCONS!$H$197)*100</f>
        <v>0</v>
      </c>
      <c r="I160" s="22">
        <f>(BALCONS!I162/BALCONS!$I$197)*100</f>
        <v>0</v>
      </c>
      <c r="J160" s="22">
        <f>(BALCONS!J162/BALCONS!$J$197)*100</f>
        <v>0</v>
      </c>
      <c r="K160" s="79">
        <f>(BALCONS!K162/BALCONS!$K$197)*100</f>
        <v>0</v>
      </c>
    </row>
    <row r="161" spans="1:11" x14ac:dyDescent="0.2">
      <c r="A161" s="93">
        <v>155</v>
      </c>
      <c r="B161" s="20">
        <f>+BALANCE!B659</f>
        <v>23</v>
      </c>
      <c r="C161" s="21" t="str">
        <f>+BALANCE!C659</f>
        <v>OBLIGACIONES INMEDIATAS</v>
      </c>
      <c r="D161" s="22">
        <f>(BALCONS!D163/BALCONS!$D$197)*100</f>
        <v>0</v>
      </c>
      <c r="E161" s="22">
        <f>(BALCONS!E163/BALCONS!$D$197)*100</f>
        <v>0</v>
      </c>
      <c r="F161" s="22">
        <f>(BALCONS!F163/BALCONS!$F$197)*100</f>
        <v>0</v>
      </c>
      <c r="G161" s="22">
        <f>(BALCONS!G163/BALCONS!$G$197)*100</f>
        <v>1.7660695490183995</v>
      </c>
      <c r="H161" s="22">
        <f>(BALCONS!H163/BALCONS!$H$197)*100</f>
        <v>0</v>
      </c>
      <c r="I161" s="22">
        <f>(BALCONS!I163/BALCONS!$I$197)*100</f>
        <v>0.5804359391783005</v>
      </c>
      <c r="J161" s="22">
        <f>(BALCONS!J163/BALCONS!$J$197)*100</f>
        <v>0.55055880457761197</v>
      </c>
      <c r="K161" s="79">
        <f>(BALCONS!K163/BALCONS!$K$197)*100</f>
        <v>0</v>
      </c>
    </row>
    <row r="162" spans="1:11" x14ac:dyDescent="0.2">
      <c r="A162" s="93">
        <v>156</v>
      </c>
      <c r="B162" s="20">
        <f>+BALANCE!B660</f>
        <v>2301</v>
      </c>
      <c r="C162" s="21" t="str">
        <f>+BALANCE!C660</f>
        <v>Cheques de gerencia</v>
      </c>
      <c r="D162" s="22">
        <f>(BALCONS!D164/BALCONS!$D$197)*100</f>
        <v>0</v>
      </c>
      <c r="E162" s="22">
        <f>(BALCONS!E164/BALCONS!$D$197)*100</f>
        <v>0</v>
      </c>
      <c r="F162" s="22">
        <f>(BALCONS!F164/BALCONS!$F$197)*100</f>
        <v>0</v>
      </c>
      <c r="G162" s="22">
        <f>(BALCONS!G164/BALCONS!$G$197)*100</f>
        <v>0.32102565877433592</v>
      </c>
      <c r="H162" s="22">
        <f>(BALCONS!H164/BALCONS!$H$197)*100</f>
        <v>0</v>
      </c>
      <c r="I162" s="22">
        <f>(BALCONS!I164/BALCONS!$I$197)*100</f>
        <v>0.10550820597896679</v>
      </c>
      <c r="J162" s="22">
        <f>(BALCONS!J164/BALCONS!$J$197)*100</f>
        <v>0.10007731747131629</v>
      </c>
      <c r="K162" s="79">
        <f>(BALCONS!K164/BALCONS!$K$197)*100</f>
        <v>0</v>
      </c>
    </row>
    <row r="163" spans="1:11" x14ac:dyDescent="0.2">
      <c r="A163" s="93">
        <v>157</v>
      </c>
      <c r="B163" s="20">
        <f>+BALANCE!B661</f>
        <v>2302</v>
      </c>
      <c r="C163" s="21" t="str">
        <f>+BALANCE!C661</f>
        <v>Giros, transferencias y cobranzas por pagar</v>
      </c>
      <c r="D163" s="22">
        <f>(BALCONS!D165/BALCONS!$D$197)*100</f>
        <v>0</v>
      </c>
      <c r="E163" s="22">
        <f>(BALCONS!E165/BALCONS!$D$197)*100</f>
        <v>0</v>
      </c>
      <c r="F163" s="22">
        <f>(BALCONS!F165/BALCONS!$F$197)*100</f>
        <v>0</v>
      </c>
      <c r="G163" s="22">
        <f>(BALCONS!G165/BALCONS!$G$197)*100</f>
        <v>1.0087956942735876E-2</v>
      </c>
      <c r="H163" s="22">
        <f>(BALCONS!H165/BALCONS!$H$197)*100</f>
        <v>0</v>
      </c>
      <c r="I163" s="22">
        <f>(BALCONS!I165/BALCONS!$I$197)*100</f>
        <v>3.3155051938365946E-3</v>
      </c>
      <c r="J163" s="22">
        <f>(BALCONS!J165/BALCONS!$J$197)*100</f>
        <v>3.144844164325276E-3</v>
      </c>
      <c r="K163" s="79">
        <f>(BALCONS!K165/BALCONS!$K$197)*100</f>
        <v>0</v>
      </c>
    </row>
    <row r="164" spans="1:11" x14ac:dyDescent="0.2">
      <c r="A164" s="93">
        <v>158</v>
      </c>
      <c r="B164" s="20">
        <f>+BALANCE!B664</f>
        <v>2303</v>
      </c>
      <c r="C164" s="21" t="str">
        <f>+BALANCE!C664</f>
        <v>Recaudaciones para el sector público</v>
      </c>
      <c r="D164" s="22">
        <f>(BALCONS!D166/BALCONS!$D$197)*100</f>
        <v>0</v>
      </c>
      <c r="E164" s="22">
        <f>(BALCONS!E166/BALCONS!$D$197)*100</f>
        <v>0</v>
      </c>
      <c r="F164" s="22">
        <f>(BALCONS!F166/BALCONS!$F$197)*100</f>
        <v>0</v>
      </c>
      <c r="G164" s="22">
        <f>(BALCONS!G166/BALCONS!$G$197)*100</f>
        <v>1.4349559333013275</v>
      </c>
      <c r="H164" s="22">
        <f>(BALCONS!H166/BALCONS!$H$197)*100</f>
        <v>0</v>
      </c>
      <c r="I164" s="22">
        <f>(BALCONS!I166/BALCONS!$I$197)*100</f>
        <v>0.47161222800549701</v>
      </c>
      <c r="J164" s="22">
        <f>(BALCONS!J166/BALCONS!$J$197)*100</f>
        <v>0.4473366429419704</v>
      </c>
      <c r="K164" s="79">
        <f>(BALCONS!K166/BALCONS!$K$197)*100</f>
        <v>0</v>
      </c>
    </row>
    <row r="165" spans="1:11" x14ac:dyDescent="0.2">
      <c r="A165" s="93">
        <v>159</v>
      </c>
      <c r="B165" s="20">
        <f>+BALANCE!B665</f>
        <v>2304</v>
      </c>
      <c r="C165" s="21" t="str">
        <f>+BALANCE!C665</f>
        <v>Valores en circulación y cupones por pagar</v>
      </c>
      <c r="D165" s="22">
        <f>(BALCONS!D167/BALCONS!$D$197)*100</f>
        <v>0</v>
      </c>
      <c r="E165" s="22">
        <f>(BALCONS!E167/BALCONS!$D$197)*100</f>
        <v>0</v>
      </c>
      <c r="F165" s="22">
        <f>(BALCONS!F167/BALCONS!$F$197)*100</f>
        <v>0</v>
      </c>
      <c r="G165" s="22">
        <f>(BALCONS!G167/BALCONS!$G$197)*100</f>
        <v>0</v>
      </c>
      <c r="H165" s="22">
        <f>(BALCONS!H167/BALCONS!$H$197)*100</f>
        <v>0</v>
      </c>
      <c r="I165" s="22">
        <f>(BALCONS!I167/BALCONS!$I$197)*100</f>
        <v>0</v>
      </c>
      <c r="J165" s="22">
        <f>(BALCONS!J167/BALCONS!$J$197)*100</f>
        <v>0</v>
      </c>
      <c r="K165" s="79">
        <f>(BALCONS!K167/BALCONS!$K$197)*100</f>
        <v>0</v>
      </c>
    </row>
    <row r="166" spans="1:11" x14ac:dyDescent="0.2">
      <c r="A166" s="93">
        <v>160</v>
      </c>
      <c r="B166" s="20">
        <f>+BALANCE!B669</f>
        <v>24</v>
      </c>
      <c r="C166" s="21" t="str">
        <f>+BALANCE!C669</f>
        <v>ACEPTACIONES EN CIRCULACION</v>
      </c>
      <c r="D166" s="22">
        <f>(BALCONS!D168/BALCONS!$D$197)*100</f>
        <v>0</v>
      </c>
      <c r="E166" s="22">
        <f>(BALCONS!E168/BALCONS!$D$197)*100</f>
        <v>0</v>
      </c>
      <c r="F166" s="22">
        <f>(BALCONS!F168/BALCONS!$F$197)*100</f>
        <v>0</v>
      </c>
      <c r="G166" s="22">
        <f>(BALCONS!G168/BALCONS!$G$197)*100</f>
        <v>0</v>
      </c>
      <c r="H166" s="22">
        <f>(BALCONS!H168/BALCONS!$H$197)*100</f>
        <v>0</v>
      </c>
      <c r="I166" s="22">
        <f>(BALCONS!I168/BALCONS!$I$197)*100</f>
        <v>0</v>
      </c>
      <c r="J166" s="22">
        <f>(BALCONS!J168/BALCONS!$J$197)*100</f>
        <v>0</v>
      </c>
      <c r="K166" s="79">
        <f>(BALCONS!K168/BALCONS!$K$197)*100</f>
        <v>0</v>
      </c>
    </row>
    <row r="167" spans="1:11" x14ac:dyDescent="0.2">
      <c r="A167" s="93">
        <v>161</v>
      </c>
      <c r="B167" s="20">
        <f>+BALANCE!B672</f>
        <v>25</v>
      </c>
      <c r="C167" s="21" t="str">
        <f>+BALANCE!C672</f>
        <v>CUENTAS POR PAGAR</v>
      </c>
      <c r="D167" s="22">
        <f>(BALCONS!D169/BALCONS!$D$197)*100</f>
        <v>4.5166975373790397</v>
      </c>
      <c r="E167" s="22">
        <f>(BALCONS!E169/BALCONS!$D$197)*100</f>
        <v>4.5166975373790397</v>
      </c>
      <c r="F167" s="22">
        <f>(BALCONS!F169/BALCONS!$F$197)*100</f>
        <v>13.41221610053142</v>
      </c>
      <c r="G167" s="22">
        <f>(BALCONS!G169/BALCONS!$G$197)*100</f>
        <v>3.3616411446693335</v>
      </c>
      <c r="H167" s="22">
        <f>(BALCONS!H169/BALCONS!$H$197)*100</f>
        <v>4.2193209218732521</v>
      </c>
      <c r="I167" s="22">
        <f>(BALCONS!I169/BALCONS!$I$197)*100</f>
        <v>6.4641541720536031</v>
      </c>
      <c r="J167" s="22">
        <f>(BALCONS!J169/BALCONS!$J$197)*100</f>
        <v>6.3639115439256058</v>
      </c>
      <c r="K167" s="79">
        <f>(BALCONS!K169/BALCONS!$K$197)*100</f>
        <v>11.409693811593433</v>
      </c>
    </row>
    <row r="168" spans="1:11" x14ac:dyDescent="0.2">
      <c r="A168" s="93">
        <v>162</v>
      </c>
      <c r="B168" s="20">
        <f>+BALANCE!B673</f>
        <v>2501</v>
      </c>
      <c r="C168" s="21" t="str">
        <f>+BALANCE!C673</f>
        <v>Intereses por pagar</v>
      </c>
      <c r="D168" s="22">
        <f>(BALCONS!D170/BALCONS!$D$197)*100</f>
        <v>2.5038994028817427</v>
      </c>
      <c r="E168" s="22">
        <f>(BALCONS!E170/BALCONS!$D$197)*100</f>
        <v>2.5038994028817427</v>
      </c>
      <c r="F168" s="22">
        <f>(BALCONS!F170/BALCONS!$F$197)*100</f>
        <v>3.0801685263561662</v>
      </c>
      <c r="G168" s="22">
        <f>(BALCONS!G170/BALCONS!$G$197)*100</f>
        <v>0.14047045208302469</v>
      </c>
      <c r="H168" s="22">
        <f>(BALCONS!H170/BALCONS!$H$197)*100</f>
        <v>0.69935864371126444</v>
      </c>
      <c r="I168" s="22">
        <f>(BALCONS!I170/BALCONS!$I$197)*100</f>
        <v>1.1700533582519721</v>
      </c>
      <c r="J168" s="22">
        <f>(BALCONS!J170/BALCONS!$J$197)*100</f>
        <v>1.2387112326565373</v>
      </c>
      <c r="K168" s="79">
        <f>(BALCONS!K170/BALCONS!$K$197)*100</f>
        <v>0</v>
      </c>
    </row>
    <row r="169" spans="1:11" x14ac:dyDescent="0.2">
      <c r="A169" s="93">
        <v>163</v>
      </c>
      <c r="B169" s="20">
        <f>+BALANCE!B686</f>
        <v>2502</v>
      </c>
      <c r="C169" s="21" t="str">
        <f>+BALANCE!C686</f>
        <v>Comisiones por pagar</v>
      </c>
      <c r="D169" s="22">
        <f>(BALCONS!D171/BALCONS!$D$197)*100</f>
        <v>0</v>
      </c>
      <c r="E169" s="22">
        <f>(BALCONS!E171/BALCONS!$D$197)*100</f>
        <v>0</v>
      </c>
      <c r="F169" s="22">
        <f>(BALCONS!F171/BALCONS!$F$197)*100</f>
        <v>1.9421260577859588E-4</v>
      </c>
      <c r="G169" s="22">
        <f>(BALCONS!G171/BALCONS!$G$197)*100</f>
        <v>0</v>
      </c>
      <c r="H169" s="22">
        <f>(BALCONS!H171/BALCONS!$H$197)*100</f>
        <v>0</v>
      </c>
      <c r="I169" s="22">
        <f>(BALCONS!I171/BALCONS!$I$197)*100</f>
        <v>5.3380408200965509E-5</v>
      </c>
      <c r="J169" s="22">
        <f>(BALCONS!J171/BALCONS!$J$197)*100</f>
        <v>5.0632725755392428E-5</v>
      </c>
      <c r="K169" s="79">
        <f>(BALCONS!K171/BALCONS!$K$197)*100</f>
        <v>0</v>
      </c>
    </row>
    <row r="170" spans="1:11" x14ac:dyDescent="0.2">
      <c r="A170" s="93">
        <v>164</v>
      </c>
      <c r="B170" s="20">
        <f>+BALANCE!B687</f>
        <v>2503</v>
      </c>
      <c r="C170" s="21" t="str">
        <f>+BALANCE!C687</f>
        <v>Obligaciones patronales</v>
      </c>
      <c r="D170" s="22">
        <f>(BALCONS!D172/BALCONS!$D$197)*100</f>
        <v>0.12638351377326543</v>
      </c>
      <c r="E170" s="22">
        <f>(BALCONS!E172/BALCONS!$D$197)*100</f>
        <v>0.12638351377326543</v>
      </c>
      <c r="F170" s="22">
        <f>(BALCONS!F172/BALCONS!$F$197)*100</f>
        <v>8.1583621286585792E-2</v>
      </c>
      <c r="G170" s="22">
        <f>(BALCONS!G172/BALCONS!$G$197)*100</f>
        <v>0.26444539144111834</v>
      </c>
      <c r="H170" s="22">
        <f>(BALCONS!H172/BALCONS!$H$197)*100</f>
        <v>9.354881495523179E-2</v>
      </c>
      <c r="I170" s="22">
        <f>(BALCONS!I172/BALCONS!$I$197)*100</f>
        <v>0.14642693783404914</v>
      </c>
      <c r="J170" s="22">
        <f>(BALCONS!J172/BALCONS!$J$197)*100</f>
        <v>0.1453952303912425</v>
      </c>
      <c r="K170" s="79">
        <f>(BALCONS!K172/BALCONS!$K$197)*100</f>
        <v>1.3139415269246257</v>
      </c>
    </row>
    <row r="171" spans="1:11" x14ac:dyDescent="0.2">
      <c r="A171" s="93">
        <v>165</v>
      </c>
      <c r="B171" s="20">
        <f>+BALANCE!B695</f>
        <v>2504</v>
      </c>
      <c r="C171" s="21" t="str">
        <f>+BALANCE!C695</f>
        <v>Retenciones</v>
      </c>
      <c r="D171" s="22">
        <f>(BALCONS!D173/BALCONS!$D$197)*100</f>
        <v>9.1667033313876392E-2</v>
      </c>
      <c r="E171" s="22">
        <f>(BALCONS!E173/BALCONS!$D$197)*100</f>
        <v>9.1667033313876392E-2</v>
      </c>
      <c r="F171" s="22">
        <f>(BALCONS!F173/BALCONS!$F$197)*100</f>
        <v>3.5546202899753476E-3</v>
      </c>
      <c r="G171" s="22">
        <f>(BALCONS!G173/BALCONS!$G$197)*100</f>
        <v>7.2749783230529469E-2</v>
      </c>
      <c r="H171" s="22">
        <f>(BALCONS!H173/BALCONS!$H$197)*100</f>
        <v>3.8034224784045695E-2</v>
      </c>
      <c r="I171" s="22">
        <f>(BALCONS!I173/BALCONS!$I$197)*100</f>
        <v>3.9966920931388934E-2</v>
      </c>
      <c r="J171" s="22">
        <f>(BALCONS!J173/BALCONS!$J$197)*100</f>
        <v>4.2628112481155819E-2</v>
      </c>
      <c r="K171" s="79">
        <f>(BALCONS!K173/BALCONS!$K$197)*100</f>
        <v>1.2982656079077878E-2</v>
      </c>
    </row>
    <row r="172" spans="1:11" x14ac:dyDescent="0.2">
      <c r="A172" s="93">
        <v>166</v>
      </c>
      <c r="B172" s="20">
        <f>+BALANCE!B698</f>
        <v>2505</v>
      </c>
      <c r="C172" s="21" t="str">
        <f>+BALANCE!C698</f>
        <v>Contribuciones, impuestos y multas</v>
      </c>
      <c r="D172" s="22">
        <f>(BALCONS!D174/BALCONS!$D$197)*100</f>
        <v>0</v>
      </c>
      <c r="E172" s="22">
        <f>(BALCONS!E174/BALCONS!$D$197)*100</f>
        <v>0</v>
      </c>
      <c r="F172" s="22">
        <f>(BALCONS!F174/BALCONS!$F$197)*100</f>
        <v>0.30888677072589138</v>
      </c>
      <c r="G172" s="22">
        <f>(BALCONS!G174/BALCONS!$G$197)*100</f>
        <v>3.7836864751730336E-2</v>
      </c>
      <c r="H172" s="22">
        <f>(BALCONS!H174/BALCONS!$H$197)*100</f>
        <v>5.0001289048889994E-2</v>
      </c>
      <c r="I172" s="22">
        <f>(BALCONS!I174/BALCONS!$I$197)*100</f>
        <v>0.11715943827578262</v>
      </c>
      <c r="J172" s="22">
        <f>(BALCONS!J174/BALCONS!$J$197)*100</f>
        <v>0.11112881875201233</v>
      </c>
      <c r="K172" s="79">
        <f>(BALCONS!K174/BALCONS!$K$197)*100</f>
        <v>0</v>
      </c>
    </row>
    <row r="173" spans="1:11" x14ac:dyDescent="0.2">
      <c r="A173" s="93">
        <v>167</v>
      </c>
      <c r="B173" s="20">
        <f>+BALANCE!B702</f>
        <v>2506</v>
      </c>
      <c r="C173" s="21" t="str">
        <f>+BALANCE!C702</f>
        <v>Proveedores</v>
      </c>
      <c r="D173" s="22">
        <f>(BALCONS!D175/BALCONS!$D$197)*100</f>
        <v>0</v>
      </c>
      <c r="E173" s="22">
        <f>(BALCONS!E175/BALCONS!$D$197)*100</f>
        <v>0</v>
      </c>
      <c r="F173" s="22">
        <f>(BALCONS!F175/BALCONS!$F$197)*100</f>
        <v>0</v>
      </c>
      <c r="G173" s="22">
        <f>(BALCONS!G175/BALCONS!$G$197)*100</f>
        <v>0.64391178624276901</v>
      </c>
      <c r="H173" s="22">
        <f>(BALCONS!H175/BALCONS!$H$197)*100</f>
        <v>0</v>
      </c>
      <c r="I173" s="22">
        <f>(BALCONS!I175/BALCONS!$I$197)*100</f>
        <v>0.21162787309454076</v>
      </c>
      <c r="J173" s="22">
        <f>(BALCONS!J175/BALCONS!$J$197)*100</f>
        <v>0.20073462196564962</v>
      </c>
      <c r="K173" s="79">
        <f>(BALCONS!K175/BALCONS!$K$197)*100</f>
        <v>3.3888035237078036</v>
      </c>
    </row>
    <row r="174" spans="1:11" x14ac:dyDescent="0.2">
      <c r="A174" s="93">
        <v>168</v>
      </c>
      <c r="B174" s="20">
        <f>+BALANCE!B703</f>
        <v>2507</v>
      </c>
      <c r="C174" s="21" t="str">
        <f>+BALANCE!C703</f>
        <v>Obligaciones por compra de cartera</v>
      </c>
      <c r="D174" s="22">
        <f>(BALCONS!D176/BALCONS!$D$197)*100</f>
        <v>0</v>
      </c>
      <c r="E174" s="22">
        <f>(BALCONS!E176/BALCONS!$D$197)*100</f>
        <v>0</v>
      </c>
      <c r="F174" s="22">
        <f>(BALCONS!F176/BALCONS!$F$197)*100</f>
        <v>0</v>
      </c>
      <c r="G174" s="22">
        <f>(BALCONS!G176/BALCONS!$G$197)*100</f>
        <v>0</v>
      </c>
      <c r="H174" s="22">
        <f>(BALCONS!H176/BALCONS!$H$197)*100</f>
        <v>0</v>
      </c>
      <c r="I174" s="22">
        <f>(BALCONS!I176/BALCONS!$I$197)*100</f>
        <v>0</v>
      </c>
      <c r="J174" s="22">
        <f>(BALCONS!J176/BALCONS!$J$197)*100</f>
        <v>0</v>
      </c>
      <c r="K174" s="79">
        <f>(BALCONS!K176/BALCONS!$K$197)*100</f>
        <v>0</v>
      </c>
    </row>
    <row r="175" spans="1:11" x14ac:dyDescent="0.2">
      <c r="A175" s="93">
        <v>169</v>
      </c>
      <c r="B175" s="20">
        <f>+BALANCE!B704</f>
        <v>2508</v>
      </c>
      <c r="C175" s="21" t="str">
        <f>+BALANCE!C704</f>
        <v>Retrogarantías por pagar</v>
      </c>
      <c r="D175" s="22">
        <f>(BALCONS!D177/BALCONS!$D$197)*100</f>
        <v>0</v>
      </c>
      <c r="E175" s="22">
        <f>(BALCONS!E177/BALCONS!$D$197)*100</f>
        <v>0</v>
      </c>
      <c r="F175" s="22">
        <f>(BALCONS!F177/BALCONS!$F$197)*100</f>
        <v>0</v>
      </c>
      <c r="G175" s="22">
        <f>(BALCONS!G177/BALCONS!$G$197)*100</f>
        <v>0</v>
      </c>
      <c r="H175" s="22">
        <f>(BALCONS!H177/BALCONS!$H$197)*100</f>
        <v>0</v>
      </c>
      <c r="I175" s="22">
        <f>(BALCONS!I177/BALCONS!$I$197)*100</f>
        <v>0</v>
      </c>
      <c r="J175" s="22">
        <f>(BALCONS!J177/BALCONS!$J$197)*100</f>
        <v>0</v>
      </c>
      <c r="K175" s="79">
        <f>(BALCONS!K177/BALCONS!$K$197)*100</f>
        <v>0</v>
      </c>
    </row>
    <row r="176" spans="1:11" x14ac:dyDescent="0.2">
      <c r="A176" s="93">
        <v>170</v>
      </c>
      <c r="B176" s="20">
        <f>+BALANCE!B705</f>
        <v>2510</v>
      </c>
      <c r="C176" s="21" t="str">
        <f>+BALANCE!C705</f>
        <v>Cuentas por pagar a establecimientos afiliados</v>
      </c>
      <c r="D176" s="22">
        <f>(BALCONS!D178/BALCONS!$D$197)*100</f>
        <v>0</v>
      </c>
      <c r="E176" s="22">
        <f>(BALCONS!E178/BALCONS!$D$197)*100</f>
        <v>0</v>
      </c>
      <c r="F176" s="22">
        <f>(BALCONS!F178/BALCONS!$F$197)*100</f>
        <v>0</v>
      </c>
      <c r="G176" s="22">
        <f>(BALCONS!G178/BALCONS!$G$197)*100</f>
        <v>0</v>
      </c>
      <c r="H176" s="22">
        <f>(BALCONS!H178/BALCONS!$H$197)*100</f>
        <v>0</v>
      </c>
      <c r="I176" s="22">
        <f>(BALCONS!I178/BALCONS!$I$197)*100</f>
        <v>0</v>
      </c>
      <c r="J176" s="22">
        <f>(BALCONS!J178/BALCONS!$J$197)*100</f>
        <v>0</v>
      </c>
      <c r="K176" s="79">
        <f>(BALCONS!K178/BALCONS!$K$197)*100</f>
        <v>0</v>
      </c>
    </row>
    <row r="177" spans="1:11" x14ac:dyDescent="0.2">
      <c r="A177" s="93">
        <v>171</v>
      </c>
      <c r="B177" s="20">
        <f>+BALANCE!B706</f>
        <v>2511</v>
      </c>
      <c r="C177" s="21" t="str">
        <f>+BALANCE!C706</f>
        <v>Provisiones para aceptaciones bancarias y operaciones contingentes</v>
      </c>
      <c r="D177" s="22">
        <f>(BALCONS!D179/BALCONS!$D$197)*100</f>
        <v>0</v>
      </c>
      <c r="E177" s="22">
        <f>(BALCONS!E179/BALCONS!$D$197)*100</f>
        <v>0</v>
      </c>
      <c r="F177" s="22">
        <f>(BALCONS!F179/BALCONS!$F$197)*100</f>
        <v>0</v>
      </c>
      <c r="G177" s="22">
        <f>(BALCONS!G179/BALCONS!$G$197)*100</f>
        <v>0</v>
      </c>
      <c r="H177" s="22">
        <f>(BALCONS!H179/BALCONS!$H$197)*100</f>
        <v>0</v>
      </c>
      <c r="I177" s="22">
        <f>(BALCONS!I179/BALCONS!$I$197)*100</f>
        <v>0</v>
      </c>
      <c r="J177" s="22">
        <f>(BALCONS!J179/BALCONS!$J$197)*100</f>
        <v>0</v>
      </c>
      <c r="K177" s="79">
        <f>(BALCONS!K179/BALCONS!$K$197)*100</f>
        <v>0</v>
      </c>
    </row>
    <row r="178" spans="1:11" x14ac:dyDescent="0.2">
      <c r="A178" s="93">
        <v>172</v>
      </c>
      <c r="B178" s="20">
        <f>+BALANCE!B707</f>
        <v>2590</v>
      </c>
      <c r="C178" s="21" t="str">
        <f>+BALANCE!C707</f>
        <v>Cuentas por pagar varias</v>
      </c>
      <c r="D178" s="22">
        <f>(BALCONS!D180/BALCONS!$D$197)*100</f>
        <v>1.7947475874101548</v>
      </c>
      <c r="E178" s="22">
        <f>(BALCONS!E180/BALCONS!$D$197)*100</f>
        <v>1.7947475874101548</v>
      </c>
      <c r="F178" s="22">
        <f>(BALCONS!F180/BALCONS!$F$197)*100</f>
        <v>9.9378283492670239</v>
      </c>
      <c r="G178" s="22">
        <f>(BALCONS!G180/BALCONS!$G$197)*100</f>
        <v>2.202226866920161</v>
      </c>
      <c r="H178" s="22">
        <f>(BALCONS!H180/BALCONS!$H$197)*100</f>
        <v>3.3383779493738199</v>
      </c>
      <c r="I178" s="22">
        <f>(BALCONS!I180/BALCONS!$I$197)*100</f>
        <v>4.7788662632576688</v>
      </c>
      <c r="J178" s="22">
        <f>(BALCONS!J180/BALCONS!$J$197)*100</f>
        <v>4.6252628949532522</v>
      </c>
      <c r="K178" s="79">
        <f>(BALCONS!K180/BALCONS!$K$197)*100</f>
        <v>6.6939661048819268</v>
      </c>
    </row>
    <row r="179" spans="1:11" x14ac:dyDescent="0.2">
      <c r="A179" s="93">
        <v>173</v>
      </c>
      <c r="B179" s="20">
        <f>+BALANCE!B713</f>
        <v>26</v>
      </c>
      <c r="C179" s="21" t="str">
        <f>+BALANCE!C713</f>
        <v>OBLIGACIONES FINANCIERAS</v>
      </c>
      <c r="D179" s="22">
        <f>(BALCONS!D181/BALCONS!$D$197)*100</f>
        <v>0.50015833083499051</v>
      </c>
      <c r="E179" s="22">
        <f>(BALCONS!E181/BALCONS!$D$197)*100</f>
        <v>0.50015833083499051</v>
      </c>
      <c r="F179" s="22">
        <f>(BALCONS!F181/BALCONS!$F$197)*100</f>
        <v>1.5031715554812672</v>
      </c>
      <c r="G179" s="22">
        <f>(BALCONS!G181/BALCONS!$G$197)*100</f>
        <v>2.1704132727487727E-2</v>
      </c>
      <c r="H179" s="22">
        <f>(BALCONS!H181/BALCONS!$H$197)*100</f>
        <v>7.46271270770883</v>
      </c>
      <c r="I179" s="22">
        <f>(BALCONS!I181/BALCONS!$I$197)*100</f>
        <v>3.3791400199752664</v>
      </c>
      <c r="J179" s="22">
        <f>(BALCONS!J181/BALCONS!$J$197)*100</f>
        <v>3.2309484321815645</v>
      </c>
      <c r="K179" s="79">
        <f>(BALCONS!K181/BALCONS!$K$197)*100</f>
        <v>0</v>
      </c>
    </row>
    <row r="180" spans="1:11" x14ac:dyDescent="0.2">
      <c r="A180" s="93">
        <v>174</v>
      </c>
      <c r="B180" s="20">
        <f>+BALANCE!B714</f>
        <v>2601</v>
      </c>
      <c r="C180" s="21" t="str">
        <f>+BALANCE!C714</f>
        <v>Sobregiros</v>
      </c>
      <c r="D180" s="22">
        <f>(BALCONS!D182/BALCONS!$D$197)*100</f>
        <v>0</v>
      </c>
      <c r="E180" s="22">
        <f>(BALCONS!E182/BALCONS!$D$197)*100</f>
        <v>0</v>
      </c>
      <c r="F180" s="22">
        <f>(BALCONS!F182/BALCONS!$F$197)*100</f>
        <v>0</v>
      </c>
      <c r="G180" s="22">
        <f>(BALCONS!G182/BALCONS!$G$197)*100</f>
        <v>0</v>
      </c>
      <c r="H180" s="22">
        <f>(BALCONS!H182/BALCONS!$H$197)*100</f>
        <v>0</v>
      </c>
      <c r="I180" s="22">
        <f>(BALCONS!I182/BALCONS!$I$197)*100</f>
        <v>0</v>
      </c>
      <c r="J180" s="22">
        <f>(BALCONS!J182/BALCONS!$J$197)*100</f>
        <v>0</v>
      </c>
      <c r="K180" s="79">
        <f>(BALCONS!K182/BALCONS!$K$197)*100</f>
        <v>0</v>
      </c>
    </row>
    <row r="181" spans="1:11" x14ac:dyDescent="0.2">
      <c r="A181" s="93">
        <v>175</v>
      </c>
      <c r="B181" s="20">
        <f>+BALANCE!B715</f>
        <v>2602</v>
      </c>
      <c r="C181" s="21" t="str">
        <f>+BALANCE!C715</f>
        <v>Obligaciones con instituciones financieras del país</v>
      </c>
      <c r="D181" s="22">
        <f>(BALCONS!D183/BALCONS!$D$197)*100</f>
        <v>0</v>
      </c>
      <c r="E181" s="22">
        <f>(BALCONS!E183/BALCONS!$D$197)*100</f>
        <v>0</v>
      </c>
      <c r="F181" s="22">
        <f>(BALCONS!F183/BALCONS!$F$197)*100</f>
        <v>0</v>
      </c>
      <c r="G181" s="22">
        <f>(BALCONS!G183/BALCONS!$G$197)*100</f>
        <v>0</v>
      </c>
      <c r="H181" s="22">
        <f>(BALCONS!H183/BALCONS!$H$197)*100</f>
        <v>0</v>
      </c>
      <c r="I181" s="22">
        <f>(BALCONS!I183/BALCONS!$I$197)*100</f>
        <v>0</v>
      </c>
      <c r="J181" s="22">
        <f>(BALCONS!J183/BALCONS!$J$197)*100</f>
        <v>0</v>
      </c>
      <c r="K181" s="79">
        <f>(BALCONS!K183/BALCONS!$K$197)*100</f>
        <v>0</v>
      </c>
    </row>
    <row r="182" spans="1:11" x14ac:dyDescent="0.2">
      <c r="A182" s="93">
        <v>176</v>
      </c>
      <c r="B182" s="20">
        <f>+BALANCE!B721</f>
        <v>2603</v>
      </c>
      <c r="C182" s="21" t="str">
        <f>+BALANCE!C721</f>
        <v>Obligaciones con instituciones financieras del exterior</v>
      </c>
      <c r="D182" s="22">
        <f>(BALCONS!D184/BALCONS!$D$197)*100</f>
        <v>0</v>
      </c>
      <c r="E182" s="22">
        <f>(BALCONS!E184/BALCONS!$D$197)*100</f>
        <v>0</v>
      </c>
      <c r="F182" s="22">
        <f>(BALCONS!F184/BALCONS!$F$197)*100</f>
        <v>0</v>
      </c>
      <c r="G182" s="22">
        <f>(BALCONS!G184/BALCONS!$G$197)*100</f>
        <v>0</v>
      </c>
      <c r="H182" s="22">
        <f>(BALCONS!H184/BALCONS!$H$197)*100</f>
        <v>3.4978526006448685E-2</v>
      </c>
      <c r="I182" s="22">
        <f>(BALCONS!I184/BALCONS!$I$197)*100</f>
        <v>1.3868451916924953E-2</v>
      </c>
      <c r="J182" s="22">
        <f>(BALCONS!J184/BALCONS!$J$197)*100</f>
        <v>1.3154592597304393E-2</v>
      </c>
      <c r="K182" s="79">
        <f>(BALCONS!K184/BALCONS!$K$197)*100</f>
        <v>0</v>
      </c>
    </row>
    <row r="183" spans="1:11" x14ac:dyDescent="0.2">
      <c r="A183" s="93">
        <v>177</v>
      </c>
      <c r="B183" s="20">
        <f>+BALANCE!B727</f>
        <v>2604</v>
      </c>
      <c r="C183" s="21" t="str">
        <f>+BALANCE!C727</f>
        <v>Obligaciones con entidades del grupo financiero en el país</v>
      </c>
      <c r="D183" s="22">
        <f>(BALCONS!D185/BALCONS!$D$197)*100</f>
        <v>0</v>
      </c>
      <c r="E183" s="22">
        <f>(BALCONS!E185/BALCONS!$D$197)*100</f>
        <v>0</v>
      </c>
      <c r="F183" s="22">
        <f>(BALCONS!F185/BALCONS!$F$197)*100</f>
        <v>0</v>
      </c>
      <c r="G183" s="22">
        <f>(BALCONS!G185/BALCONS!$G$197)*100</f>
        <v>0</v>
      </c>
      <c r="H183" s="22">
        <f>(BALCONS!H185/BALCONS!$H$197)*100</f>
        <v>0</v>
      </c>
      <c r="I183" s="22">
        <f>(BALCONS!I185/BALCONS!$I$197)*100</f>
        <v>0</v>
      </c>
      <c r="J183" s="22">
        <f>(BALCONS!J185/BALCONS!$J$197)*100</f>
        <v>0</v>
      </c>
      <c r="K183" s="79">
        <f>(BALCONS!K185/BALCONS!$K$197)*100</f>
        <v>0</v>
      </c>
    </row>
    <row r="184" spans="1:11" x14ac:dyDescent="0.2">
      <c r="A184" s="93">
        <v>178</v>
      </c>
      <c r="B184" s="20">
        <f>+BALANCE!B733</f>
        <v>2605</v>
      </c>
      <c r="C184" s="21" t="str">
        <f>+BALANCE!C733</f>
        <v>Obligaciones con entidades del grupo financiero en el exterior</v>
      </c>
      <c r="D184" s="22">
        <f>(BALCONS!D186/BALCONS!$D$197)*100</f>
        <v>0</v>
      </c>
      <c r="E184" s="22">
        <f>(BALCONS!E186/BALCONS!$D$197)*100</f>
        <v>0</v>
      </c>
      <c r="F184" s="22">
        <f>(BALCONS!F186/BALCONS!$F$197)*100</f>
        <v>0</v>
      </c>
      <c r="G184" s="22">
        <f>(BALCONS!G186/BALCONS!$G$197)*100</f>
        <v>0</v>
      </c>
      <c r="H184" s="22">
        <f>(BALCONS!H186/BALCONS!$H$197)*100</f>
        <v>0</v>
      </c>
      <c r="I184" s="22">
        <f>(BALCONS!I186/BALCONS!$I$197)*100</f>
        <v>0</v>
      </c>
      <c r="J184" s="22">
        <f>(BALCONS!J186/BALCONS!$J$197)*100</f>
        <v>0</v>
      </c>
      <c r="K184" s="79">
        <f>(BALCONS!K186/BALCONS!$K$197)*100</f>
        <v>0</v>
      </c>
    </row>
    <row r="185" spans="1:11" x14ac:dyDescent="0.2">
      <c r="A185" s="93">
        <v>179</v>
      </c>
      <c r="B185" s="20">
        <f>+BALANCE!B739</f>
        <v>2606</v>
      </c>
      <c r="C185" s="21" t="str">
        <f>+BALANCE!C739</f>
        <v>Obligaciones con entidades financieras del sector público</v>
      </c>
      <c r="D185" s="22">
        <f>(BALCONS!D187/BALCONS!$D$197)*100</f>
        <v>0</v>
      </c>
      <c r="E185" s="22">
        <f>(BALCONS!E187/BALCONS!$D$197)*100</f>
        <v>0</v>
      </c>
      <c r="F185" s="22">
        <f>(BALCONS!F187/BALCONS!$F$197)*100</f>
        <v>0</v>
      </c>
      <c r="G185" s="22">
        <f>(BALCONS!G187/BALCONS!$G$197)*100</f>
        <v>2.1260873469339872E-2</v>
      </c>
      <c r="H185" s="22">
        <f>(BALCONS!H187/BALCONS!$H$197)*100</f>
        <v>0</v>
      </c>
      <c r="I185" s="22">
        <f>(BALCONS!I187/BALCONS!$I$197)*100</f>
        <v>6.987592910362066E-3</v>
      </c>
      <c r="J185" s="22">
        <f>(BALCONS!J187/BALCONS!$J$197)*100</f>
        <v>6.6279162607506556E-3</v>
      </c>
      <c r="K185" s="79">
        <f>(BALCONS!K187/BALCONS!$K$197)*100</f>
        <v>0</v>
      </c>
    </row>
    <row r="186" spans="1:11" x14ac:dyDescent="0.2">
      <c r="A186" s="93">
        <v>180</v>
      </c>
      <c r="B186" s="20">
        <f>+BALANCE!B745</f>
        <v>2607</v>
      </c>
      <c r="C186" s="21" t="str">
        <f>+BALANCE!C745</f>
        <v>Obligaciones con organismos multilaterales</v>
      </c>
      <c r="D186" s="22">
        <f>(BALCONS!D188/BALCONS!$D$197)*100</f>
        <v>0.50015833083499051</v>
      </c>
      <c r="E186" s="22">
        <f>(BALCONS!E188/BALCONS!$D$197)*100</f>
        <v>0.50015833083499051</v>
      </c>
      <c r="F186" s="22">
        <f>(BALCONS!F188/BALCONS!$F$197)*100</f>
        <v>1.5031715554812672</v>
      </c>
      <c r="G186" s="22">
        <f>(BALCONS!G188/BALCONS!$G$197)*100</f>
        <v>4.4325925814785584E-4</v>
      </c>
      <c r="H186" s="22">
        <f>(BALCONS!H188/BALCONS!$H$197)*100</f>
        <v>7.4277341817023821</v>
      </c>
      <c r="I186" s="22">
        <f>(BALCONS!I188/BALCONS!$I$197)*100</f>
        <v>3.3582839751479798</v>
      </c>
      <c r="J186" s="22">
        <f>(BALCONS!J188/BALCONS!$J$197)*100</f>
        <v>3.211165923323509</v>
      </c>
      <c r="K186" s="79">
        <f>(BALCONS!K188/BALCONS!$K$197)*100</f>
        <v>0</v>
      </c>
    </row>
    <row r="187" spans="1:11" x14ac:dyDescent="0.2">
      <c r="A187" s="93">
        <v>181</v>
      </c>
      <c r="B187" s="20">
        <f>+BALANCE!B751</f>
        <v>2608</v>
      </c>
      <c r="C187" s="21" t="str">
        <f>+BALANCE!C751</f>
        <v>Préstamo subordinado</v>
      </c>
      <c r="D187" s="22">
        <f>(BALCONS!D189/BALCONS!$D$197)*100</f>
        <v>0</v>
      </c>
      <c r="E187" s="22">
        <f>(BALCONS!E189/BALCONS!$D$197)*100</f>
        <v>0</v>
      </c>
      <c r="F187" s="22">
        <f>(BALCONS!F189/BALCONS!$F$197)*100</f>
        <v>0</v>
      </c>
      <c r="G187" s="22">
        <f>(BALCONS!G189/BALCONS!$G$197)*100</f>
        <v>0</v>
      </c>
      <c r="H187" s="22">
        <f>(BALCONS!H189/BALCONS!$H$197)*100</f>
        <v>0</v>
      </c>
      <c r="I187" s="22">
        <f>(BALCONS!I189/BALCONS!$I$197)*100</f>
        <v>0</v>
      </c>
      <c r="J187" s="22">
        <f>(BALCONS!J189/BALCONS!$J$197)*100</f>
        <v>0</v>
      </c>
      <c r="K187" s="79">
        <f>(BALCONS!K189/BALCONS!$K$197)*100</f>
        <v>0</v>
      </c>
    </row>
    <row r="188" spans="1:11" x14ac:dyDescent="0.2">
      <c r="A188" s="93">
        <v>182</v>
      </c>
      <c r="B188" s="20">
        <f>+BALANCE!B757</f>
        <v>2609</v>
      </c>
      <c r="C188" s="21" t="str">
        <f>+BALANCE!C757</f>
        <v>Obligaciones con entidades del sector público</v>
      </c>
      <c r="D188" s="22">
        <f>(BALCONS!D190/BALCONS!$D$197)*100</f>
        <v>0</v>
      </c>
      <c r="E188" s="22">
        <f>(BALCONS!E190/BALCONS!$D$197)*100</f>
        <v>0</v>
      </c>
      <c r="F188" s="22">
        <f>(BALCONS!F190/BALCONS!$F$197)*100</f>
        <v>0</v>
      </c>
      <c r="G188" s="22">
        <f>(BALCONS!G190/BALCONS!$G$197)*100</f>
        <v>0</v>
      </c>
      <c r="H188" s="22">
        <f>(BALCONS!H190/BALCONS!$H$197)*100</f>
        <v>0</v>
      </c>
      <c r="I188" s="22">
        <f>(BALCONS!I190/BALCONS!$I$197)*100</f>
        <v>0</v>
      </c>
      <c r="J188" s="22">
        <f>(BALCONS!J190/BALCONS!$J$197)*100</f>
        <v>0</v>
      </c>
      <c r="K188" s="79">
        <f>(BALCONS!K190/BALCONS!$K$197)*100</f>
        <v>0</v>
      </c>
    </row>
    <row r="189" spans="1:11" x14ac:dyDescent="0.2">
      <c r="A189" s="93">
        <v>183</v>
      </c>
      <c r="B189" s="20">
        <f>+BALANCE!B763</f>
        <v>2690</v>
      </c>
      <c r="C189" s="21" t="str">
        <f>+BALANCE!C763</f>
        <v>Otras obligaciones</v>
      </c>
      <c r="D189" s="22">
        <f>(BALCONS!D191/BALCONS!$D$197)*100</f>
        <v>0</v>
      </c>
      <c r="E189" s="22">
        <f>(BALCONS!E191/BALCONS!$D$197)*100</f>
        <v>0</v>
      </c>
      <c r="F189" s="22">
        <f>(BALCONS!F191/BALCONS!$F$197)*100</f>
        <v>0</v>
      </c>
      <c r="G189" s="22">
        <f>(BALCONS!G191/BALCONS!$G$197)*100</f>
        <v>0</v>
      </c>
      <c r="H189" s="22">
        <f>(BALCONS!H191/BALCONS!$H$197)*100</f>
        <v>0</v>
      </c>
      <c r="I189" s="22">
        <f>(BALCONS!I191/BALCONS!$I$197)*100</f>
        <v>0</v>
      </c>
      <c r="J189" s="22">
        <f>(BALCONS!J191/BALCONS!$J$197)*100</f>
        <v>0</v>
      </c>
      <c r="K189" s="79">
        <f>(BALCONS!K191/BALCONS!$K$197)*100</f>
        <v>0</v>
      </c>
    </row>
    <row r="190" spans="1:11" x14ac:dyDescent="0.2">
      <c r="A190" s="93">
        <v>184</v>
      </c>
      <c r="B190" s="20">
        <f>+BALANCE!B769</f>
        <v>27</v>
      </c>
      <c r="C190" s="21" t="str">
        <f>+BALANCE!C769</f>
        <v>VALORES EN CIRCULACION</v>
      </c>
      <c r="D190" s="22">
        <f>(BALCONS!D192/BALCONS!$D$197)*100</f>
        <v>0</v>
      </c>
      <c r="E190" s="22">
        <f>(BALCONS!E192/BALCONS!$D$197)*100</f>
        <v>0</v>
      </c>
      <c r="F190" s="22">
        <f>(BALCONS!F192/BALCONS!$F$197)*100</f>
        <v>0</v>
      </c>
      <c r="G190" s="22">
        <f>(BALCONS!G192/BALCONS!$G$197)*100</f>
        <v>0</v>
      </c>
      <c r="H190" s="22">
        <f>(BALCONS!H192/BALCONS!$H$197)*100</f>
        <v>0</v>
      </c>
      <c r="I190" s="22">
        <f>(BALCONS!I192/BALCONS!$I$197)*100</f>
        <v>0</v>
      </c>
      <c r="J190" s="22">
        <f>(BALCONS!J192/BALCONS!$J$197)*100</f>
        <v>0</v>
      </c>
      <c r="K190" s="79">
        <f>(BALCONS!K192/BALCONS!$K$197)*100</f>
        <v>0</v>
      </c>
    </row>
    <row r="191" spans="1:11" x14ac:dyDescent="0.2">
      <c r="A191" s="93">
        <v>185</v>
      </c>
      <c r="B191" s="20">
        <f>+BALANCE!B783</f>
        <v>28</v>
      </c>
      <c r="C191" s="21" t="str">
        <f>+BALANCE!C783</f>
        <v>OBLIGACIONES CONVERTIBLES EN ACCIONES Y APORTES PARA FUTURA CAPITALIZACION</v>
      </c>
      <c r="D191" s="22">
        <f>(BALCONS!D193/BALCONS!$D$197)*100</f>
        <v>0</v>
      </c>
      <c r="E191" s="22">
        <f>(BALCONS!E193/BALCONS!$D$197)*100</f>
        <v>0</v>
      </c>
      <c r="F191" s="22">
        <f>(BALCONS!F193/BALCONS!$F$197)*100</f>
        <v>0</v>
      </c>
      <c r="G191" s="22">
        <f>(BALCONS!G193/BALCONS!$G$197)*100</f>
        <v>0</v>
      </c>
      <c r="H191" s="22">
        <f>(BALCONS!H193/BALCONS!$H$197)*100</f>
        <v>0</v>
      </c>
      <c r="I191" s="22">
        <f>(BALCONS!I193/BALCONS!$I$197)*100</f>
        <v>0</v>
      </c>
      <c r="J191" s="22">
        <f>(BALCONS!J193/BALCONS!$J$197)*100</f>
        <v>0</v>
      </c>
      <c r="K191" s="79">
        <f>(BALCONS!K193/BALCONS!$K$197)*100</f>
        <v>0</v>
      </c>
    </row>
    <row r="192" spans="1:11" x14ac:dyDescent="0.2">
      <c r="A192" s="93">
        <v>186</v>
      </c>
      <c r="B192" s="20">
        <f>+BALANCE!B784</f>
        <v>2801</v>
      </c>
      <c r="C192" s="21" t="str">
        <f>+BALANCE!C784</f>
        <v>Obligaciones convertibles en acciones</v>
      </c>
      <c r="D192" s="22">
        <f>(BALCONS!D194/BALCONS!$D$197)*100</f>
        <v>0</v>
      </c>
      <c r="E192" s="22">
        <f>(BALCONS!E194/BALCONS!$D$197)*100</f>
        <v>0</v>
      </c>
      <c r="F192" s="22">
        <f>(BALCONS!F194/BALCONS!$F$197)*100</f>
        <v>0</v>
      </c>
      <c r="G192" s="22">
        <f>(BALCONS!G194/BALCONS!$G$197)*100</f>
        <v>0</v>
      </c>
      <c r="H192" s="22">
        <f>(BALCONS!H194/BALCONS!$H$197)*100</f>
        <v>0</v>
      </c>
      <c r="I192" s="22">
        <f>(BALCONS!I194/BALCONS!$I$197)*100</f>
        <v>0</v>
      </c>
      <c r="J192" s="22">
        <f>(BALCONS!J194/BALCONS!$J$197)*100</f>
        <v>0</v>
      </c>
      <c r="K192" s="79">
        <f>(BALCONS!K194/BALCONS!$K$197)*100</f>
        <v>0</v>
      </c>
    </row>
    <row r="193" spans="1:11" x14ac:dyDescent="0.2">
      <c r="A193" s="93">
        <v>187</v>
      </c>
      <c r="B193" s="20">
        <f>+BALANCE!B787</f>
        <v>2802</v>
      </c>
      <c r="C193" s="21" t="str">
        <f>+BALANCE!C787</f>
        <v>Aportes para futura capitalización</v>
      </c>
      <c r="D193" s="22">
        <f>(BALCONS!D195/BALCONS!$D$197)*100</f>
        <v>0</v>
      </c>
      <c r="E193" s="22">
        <f>(BALCONS!E195/BALCONS!$D$197)*100</f>
        <v>0</v>
      </c>
      <c r="F193" s="22">
        <f>(BALCONS!F195/BALCONS!$F$197)*100</f>
        <v>0</v>
      </c>
      <c r="G193" s="22">
        <f>(BALCONS!G195/BALCONS!$G$197)*100</f>
        <v>0</v>
      </c>
      <c r="H193" s="22">
        <f>(BALCONS!H195/BALCONS!$H$197)*100</f>
        <v>0</v>
      </c>
      <c r="I193" s="22">
        <f>(BALCONS!I195/BALCONS!$I$197)*100</f>
        <v>0</v>
      </c>
      <c r="J193" s="22">
        <f>(BALCONS!J195/BALCONS!$J$197)*100</f>
        <v>0</v>
      </c>
      <c r="K193" s="79">
        <f>(BALCONS!K195/BALCONS!$K$197)*100</f>
        <v>0</v>
      </c>
    </row>
    <row r="194" spans="1:11" x14ac:dyDescent="0.2">
      <c r="A194" s="93">
        <v>188</v>
      </c>
      <c r="B194" s="20">
        <f>+BALANCE!B788</f>
        <v>29</v>
      </c>
      <c r="C194" s="21" t="str">
        <f>+BALANCE!C788</f>
        <v>OTROS PASIVOS</v>
      </c>
      <c r="D194" s="22">
        <f>(BALCONS!D196/BALCONS!$D$197)*100</f>
        <v>7.7831095703190911</v>
      </c>
      <c r="E194" s="22">
        <f>(BALCONS!E196/BALCONS!$D$197)*100</f>
        <v>7.7831095703190911</v>
      </c>
      <c r="F194" s="22">
        <f>(BALCONS!F196/BALCONS!$F$197)*100</f>
        <v>39.129681159433275</v>
      </c>
      <c r="G194" s="22">
        <f>(BALCONS!G196/BALCONS!$G$197)*100</f>
        <v>4.2634568453058632</v>
      </c>
      <c r="H194" s="22">
        <f>(BALCONS!H196/BALCONS!$H$197)*100</f>
        <v>0.14819031242246453</v>
      </c>
      <c r="I194" s="22">
        <f>(BALCONS!I196/BALCONS!$I$197)*100</f>
        <v>12.214990923417327</v>
      </c>
      <c r="J194" s="22">
        <f>(BALCONS!J196/BALCONS!$J$197)*100</f>
        <v>11.986865980106188</v>
      </c>
      <c r="K194" s="79">
        <f>(BALCONS!K196/BALCONS!$K$197)*100</f>
        <v>88.590306188406558</v>
      </c>
    </row>
    <row r="195" spans="1:11" ht="15" x14ac:dyDescent="0.25">
      <c r="A195" s="93">
        <v>189</v>
      </c>
      <c r="B195" s="20"/>
      <c r="C195" s="24" t="str">
        <f>+BALANCE!C805</f>
        <v>TOTAL PASIVO</v>
      </c>
      <c r="D195" s="81">
        <f>(BALCONS!D197/BALCONS!$D$197)*100</f>
        <v>100</v>
      </c>
      <c r="E195" s="81">
        <f>(BALCONS!E197/BALCONS!$D$197)*100</f>
        <v>100</v>
      </c>
      <c r="F195" s="81">
        <f>(BALCONS!F197/BALCONS!$F$197)*100</f>
        <v>100</v>
      </c>
      <c r="G195" s="81">
        <f>(BALCONS!G197/BALCONS!$G$197)*100</f>
        <v>100</v>
      </c>
      <c r="H195" s="81">
        <f>(BALCONS!H197/BALCONS!$H$197)*100</f>
        <v>100</v>
      </c>
      <c r="I195" s="81">
        <f>(BALCONS!I197/BALCONS!$I$197)*100</f>
        <v>100</v>
      </c>
      <c r="J195" s="81">
        <f>(BALCONS!J197/BALCONS!$J$197)*100</f>
        <v>100</v>
      </c>
      <c r="K195" s="82">
        <f>(BALCONS!K197/BALCONS!$K$197)*100</f>
        <v>100</v>
      </c>
    </row>
    <row r="196" spans="1:11" ht="15" x14ac:dyDescent="0.25">
      <c r="A196" s="93">
        <v>190</v>
      </c>
      <c r="B196" s="20"/>
      <c r="C196" s="24"/>
      <c r="D196" s="81"/>
      <c r="E196" s="81"/>
      <c r="F196" s="81"/>
      <c r="G196" s="81"/>
      <c r="H196" s="81"/>
      <c r="I196" s="81"/>
      <c r="J196" s="81"/>
      <c r="K196" s="82"/>
    </row>
    <row r="197" spans="1:11" ht="15" x14ac:dyDescent="0.25">
      <c r="A197" s="93">
        <v>191</v>
      </c>
      <c r="B197" s="20"/>
      <c r="C197" s="91" t="s">
        <v>747</v>
      </c>
      <c r="D197" s="81">
        <f>(BALCONS!D197/BALCONS!$E$197)*100</f>
        <v>100</v>
      </c>
      <c r="E197" s="81">
        <f>(BALCONS!E197/BALCONS!$E$197)*100</f>
        <v>100</v>
      </c>
      <c r="F197" s="81">
        <f>(BALCONS!F197/BALCONS!$I$197)*100</f>
        <v>27.485552746158842</v>
      </c>
      <c r="G197" s="81">
        <f>(BALCONS!G197/BALCONS!$I$197)*100</f>
        <v>32.865972888831756</v>
      </c>
      <c r="H197" s="81">
        <f>(BALCONS!H197/BALCONS!$I$197)*100</f>
        <v>39.648474365009399</v>
      </c>
      <c r="I197" s="81">
        <f>(BALCONS!I197/BALCONS!$I$197)*100</f>
        <v>100</v>
      </c>
      <c r="J197" s="81">
        <f>(BALCONS!J197/BALCONS!$J$197)*100</f>
        <v>100</v>
      </c>
      <c r="K197" s="82">
        <f>(BALCONS!K197/BALCONS!$K$197)*100</f>
        <v>100</v>
      </c>
    </row>
    <row r="198" spans="1:11" ht="15" x14ac:dyDescent="0.25">
      <c r="A198" s="93">
        <v>192</v>
      </c>
      <c r="B198" s="20"/>
      <c r="C198" s="24"/>
      <c r="D198" s="81"/>
      <c r="E198" s="81"/>
      <c r="F198" s="81"/>
      <c r="G198" s="81"/>
      <c r="H198" s="81"/>
      <c r="I198" s="81"/>
      <c r="J198" s="81"/>
      <c r="K198" s="82"/>
    </row>
    <row r="199" spans="1:11" ht="15" x14ac:dyDescent="0.25">
      <c r="A199" s="93">
        <v>193</v>
      </c>
      <c r="B199" s="20"/>
      <c r="C199" s="24" t="str">
        <f>+BALANCE!C807</f>
        <v>PATRIMONIO</v>
      </c>
      <c r="D199" s="81"/>
      <c r="E199" s="81"/>
      <c r="F199" s="81"/>
      <c r="G199" s="81"/>
      <c r="H199" s="81"/>
      <c r="I199" s="81"/>
      <c r="J199" s="81"/>
      <c r="K199" s="82"/>
    </row>
    <row r="200" spans="1:11" x14ac:dyDescent="0.2">
      <c r="A200" s="93">
        <v>194</v>
      </c>
      <c r="B200" s="20">
        <f>+BALANCE!B808</f>
        <v>31</v>
      </c>
      <c r="C200" s="21" t="str">
        <f>+BALANCE!C808</f>
        <v>CAPITAL SOCIAL</v>
      </c>
      <c r="D200" s="22">
        <f>(BALCONS!D200/BALCONS!$D$210)*100</f>
        <v>36.560969222724204</v>
      </c>
      <c r="E200" s="22">
        <f>(BALCONS!E200/BALCONS!$D$210)*100</f>
        <v>36.560969222724204</v>
      </c>
      <c r="F200" s="22">
        <f>(BALCONS!F200/BALCONS!$F$210)*100</f>
        <v>71.335380877328333</v>
      </c>
      <c r="G200" s="22">
        <f>(BALCONS!G200/BALCONS!$G$210)*100</f>
        <v>61.387782582185523</v>
      </c>
      <c r="H200" s="22">
        <f>(BALCONS!H200/BALCONS!$H$210)*100</f>
        <v>48.786611886530231</v>
      </c>
      <c r="I200" s="22">
        <f>(BALCONS!I200/BALCONS!$I$210)*100</f>
        <v>57.598469271793654</v>
      </c>
      <c r="J200" s="22">
        <f>(BALCONS!J200/BALCONS!$J$210)*100</f>
        <v>56.599420968126864</v>
      </c>
      <c r="K200" s="79">
        <f>(BALCONS!K200/BALCONS!$K$210)*100</f>
        <v>0</v>
      </c>
    </row>
    <row r="201" spans="1:11" x14ac:dyDescent="0.2">
      <c r="A201" s="93">
        <v>195</v>
      </c>
      <c r="B201" s="20">
        <f>+BALANCE!B812</f>
        <v>32</v>
      </c>
      <c r="C201" s="21" t="str">
        <f>+BALANCE!C812</f>
        <v>PRIMA O DESCUENTO EN COLOCACION DE ACCIONES</v>
      </c>
      <c r="D201" s="22">
        <f>(BALCONS!D201/BALCONS!$D$210)*100</f>
        <v>0</v>
      </c>
      <c r="E201" s="22">
        <f>(BALCONS!E201/BALCONS!$D$210)*100</f>
        <v>0</v>
      </c>
      <c r="F201" s="22">
        <f>(BALCONS!F201/BALCONS!$F$210)*100</f>
        <v>0</v>
      </c>
      <c r="G201" s="22">
        <f>(BALCONS!G201/BALCONS!$G$210)*100</f>
        <v>0</v>
      </c>
      <c r="H201" s="22">
        <f>(BALCONS!H201/BALCONS!$H$210)*100</f>
        <v>0</v>
      </c>
      <c r="I201" s="22">
        <f>(BALCONS!I201/BALCONS!$I$210)*100</f>
        <v>0</v>
      </c>
      <c r="J201" s="22">
        <f>(BALCONS!J201/BALCONS!$J$210)*100</f>
        <v>0</v>
      </c>
      <c r="K201" s="79">
        <f>(BALCONS!K201/BALCONS!$K$210)*100</f>
        <v>0</v>
      </c>
    </row>
    <row r="202" spans="1:11" x14ac:dyDescent="0.2">
      <c r="A202" s="93">
        <v>196</v>
      </c>
      <c r="B202" s="20">
        <f>+BALANCE!B815</f>
        <v>33</v>
      </c>
      <c r="C202" s="21" t="str">
        <f>+BALANCE!C815</f>
        <v>RESERVAS</v>
      </c>
      <c r="D202" s="22">
        <f>(BALCONS!D202/BALCONS!$D$210)*100</f>
        <v>27.141488602580889</v>
      </c>
      <c r="E202" s="22">
        <f>(BALCONS!E202/BALCONS!$D$210)*100</f>
        <v>27.141488602580889</v>
      </c>
      <c r="F202" s="22">
        <f>(BALCONS!F202/BALCONS!$F$210)*100</f>
        <v>18.582957762308233</v>
      </c>
      <c r="G202" s="22">
        <f>(BALCONS!G202/BALCONS!$G$210)*100</f>
        <v>5.7733754561455606E-5</v>
      </c>
      <c r="H202" s="22">
        <f>(BALCONS!H202/BALCONS!$H$210)*100</f>
        <v>5.8659304709462363</v>
      </c>
      <c r="I202" s="22">
        <f>(BALCONS!I202/BALCONS!$I$210)*100</f>
        <v>7.5704540093170358</v>
      </c>
      <c r="J202" s="22">
        <f>(BALCONS!J202/BALCONS!$J$210)*100</f>
        <v>8.4998614420347334</v>
      </c>
      <c r="K202" s="79">
        <f>(BALCONS!K202/BALCONS!$K$210)*100</f>
        <v>9.9767231542627927E-2</v>
      </c>
    </row>
    <row r="203" spans="1:11" x14ac:dyDescent="0.2">
      <c r="A203" s="93">
        <v>197</v>
      </c>
      <c r="B203" s="20">
        <f>+BALANCE!B825</f>
        <v>34</v>
      </c>
      <c r="C203" s="21" t="str">
        <f>+BALANCE!C825</f>
        <v>OTROS APORTES PATRIMONIALES</v>
      </c>
      <c r="D203" s="22">
        <f>(BALCONS!D203/BALCONS!$D$210)*100</f>
        <v>18.280484611362102</v>
      </c>
      <c r="E203" s="22">
        <f>(BALCONS!E203/BALCONS!$D$210)*100</f>
        <v>18.280484611362102</v>
      </c>
      <c r="F203" s="22">
        <f>(BALCONS!F203/BALCONS!$F$210)*100</f>
        <v>7.1605419443374254</v>
      </c>
      <c r="G203" s="22">
        <f>(BALCONS!G203/BALCONS!$G$210)*100</f>
        <v>56.523473352741583</v>
      </c>
      <c r="H203" s="22">
        <f>(BALCONS!H203/BALCONS!$H$210)*100</f>
        <v>44.264390788619465</v>
      </c>
      <c r="I203" s="22">
        <f>(BALCONS!I203/BALCONS!$I$210)*100</f>
        <v>38.069075617475399</v>
      </c>
      <c r="J203" s="22">
        <f>(BALCONS!J203/BALCONS!$J$210)*100</f>
        <v>37.129336664153918</v>
      </c>
      <c r="K203" s="79">
        <f>(BALCONS!K203/BALCONS!$K$210)*100</f>
        <v>98.367235858352387</v>
      </c>
    </row>
    <row r="204" spans="1:11" x14ac:dyDescent="0.2">
      <c r="A204" s="93">
        <v>198</v>
      </c>
      <c r="B204" s="20">
        <f>+BALANCE!B831</f>
        <v>35</v>
      </c>
      <c r="C204" s="21" t="str">
        <f>+BALANCE!C831</f>
        <v>SUPERAVIT POR VALUACIONES</v>
      </c>
      <c r="D204" s="22">
        <f>(BALCONS!D204/BALCONS!$D$210)*100</f>
        <v>4.9413834877713336</v>
      </c>
      <c r="E204" s="22">
        <f>(BALCONS!E204/BALCONS!$D$210)*100</f>
        <v>4.9413834877713336</v>
      </c>
      <c r="F204" s="22">
        <f>(BALCONS!F204/BALCONS!$F$210)*100</f>
        <v>2.9211194160260101</v>
      </c>
      <c r="G204" s="22">
        <f>(BALCONS!G204/BALCONS!$G$210)*100</f>
        <v>4.0601467338882449</v>
      </c>
      <c r="H204" s="22">
        <f>(BALCONS!H204/BALCONS!$H$210)*100</f>
        <v>1.0830668539040678</v>
      </c>
      <c r="I204" s="22">
        <f>(BALCONS!I204/BALCONS!$I$210)*100</f>
        <v>2.2921450616351469</v>
      </c>
      <c r="J204" s="22">
        <f>(BALCONS!J204/BALCONS!$J$210)*100</f>
        <v>2.41795455180588</v>
      </c>
      <c r="K204" s="79">
        <f>(BALCONS!K204/BALCONS!$K$210)*100</f>
        <v>9.3104314525530585E-2</v>
      </c>
    </row>
    <row r="205" spans="1:11" x14ac:dyDescent="0.2">
      <c r="A205" s="93">
        <v>199</v>
      </c>
      <c r="B205" s="20">
        <f>+BALANCE!B834</f>
        <v>36</v>
      </c>
      <c r="C205" s="21" t="str">
        <f>+BALANCE!C834</f>
        <v>RESULTADOS</v>
      </c>
      <c r="D205" s="22">
        <f>(BALCONS!D205/BALCONS!$D$210)*100</f>
        <v>13.075674075561473</v>
      </c>
      <c r="E205" s="22">
        <f>(BALCONS!E205/BALCONS!$D$210)*100</f>
        <v>13.075674075561473</v>
      </c>
      <c r="F205" s="22">
        <f>(BALCONS!F205/BALCONS!$F$210)*100</f>
        <v>0</v>
      </c>
      <c r="G205" s="22">
        <f>(BALCONS!G205/BALCONS!$G$210)*100</f>
        <v>-21.971460402569907</v>
      </c>
      <c r="H205" s="22">
        <f>(BALCONS!H205/BALCONS!$H$210)*100</f>
        <v>0</v>
      </c>
      <c r="I205" s="22">
        <f>(BALCONS!I205/BALCONS!$I$210)*100</f>
        <v>-5.5301439602212312</v>
      </c>
      <c r="J205" s="22">
        <f>(BALCONS!J205/BALCONS!$J$210)*100</f>
        <v>-4.6465736261214037</v>
      </c>
      <c r="K205" s="79">
        <f>(BALCONS!K205/BALCONS!$K$210)*100</f>
        <v>1.4398925955794688</v>
      </c>
    </row>
    <row r="206" spans="1:11" x14ac:dyDescent="0.2">
      <c r="A206" s="93">
        <v>200</v>
      </c>
      <c r="B206" s="20">
        <f>+BALANCE!B835</f>
        <v>3601</v>
      </c>
      <c r="C206" s="21" t="str">
        <f>+BALANCE!C835</f>
        <v>Utilidades o excedentes acumuladas</v>
      </c>
      <c r="D206" s="22">
        <f>(BALCONS!D206/BALCONS!$D$210)*100</f>
        <v>13.075674075561473</v>
      </c>
      <c r="E206" s="22">
        <f>(BALCONS!E206/BALCONS!$D$210)*100</f>
        <v>13.075674075561473</v>
      </c>
      <c r="F206" s="22">
        <f>(BALCONS!F206/BALCONS!$F$210)*100</f>
        <v>0</v>
      </c>
      <c r="G206" s="22">
        <f>(BALCONS!G206/BALCONS!$G$210)*100</f>
        <v>5.0096400686827689</v>
      </c>
      <c r="H206" s="22">
        <f>(BALCONS!H206/BALCONS!$H$210)*100</f>
        <v>0</v>
      </c>
      <c r="I206" s="22">
        <f>(BALCONS!I206/BALCONS!$I$210)*100</f>
        <v>1.2609098467331679</v>
      </c>
      <c r="J206" s="22">
        <f>(BALCONS!J206/BALCONS!$J$210)*100</f>
        <v>1.8219803224789746</v>
      </c>
      <c r="K206" s="79">
        <f>(BALCONS!K206/BALCONS!$K$210)*100</f>
        <v>2.3497354493267073</v>
      </c>
    </row>
    <row r="207" spans="1:11" x14ac:dyDescent="0.2">
      <c r="A207" s="93">
        <v>201</v>
      </c>
      <c r="B207" s="20">
        <f>+BALANCE!B836</f>
        <v>3602</v>
      </c>
      <c r="C207" s="21" t="str">
        <f>+BALANCE!C836</f>
        <v>(Pérdidas acumuladas)</v>
      </c>
      <c r="D207" s="22">
        <f>(BALCONS!D207/BALCONS!$D$210)*100</f>
        <v>0</v>
      </c>
      <c r="E207" s="22">
        <f>(BALCONS!E207/BALCONS!$D$210)*100</f>
        <v>0</v>
      </c>
      <c r="F207" s="22">
        <f>(BALCONS!F207/BALCONS!$F$210)*100</f>
        <v>0</v>
      </c>
      <c r="G207" s="22">
        <f>(BALCONS!G207/BALCONS!$G$210)*100</f>
        <v>-26.981100471252677</v>
      </c>
      <c r="H207" s="22">
        <f>(BALCONS!H207/BALCONS!$H$210)*100</f>
        <v>0</v>
      </c>
      <c r="I207" s="22">
        <f>(BALCONS!I207/BALCONS!$I$210)*100</f>
        <v>-6.7910538069543991</v>
      </c>
      <c r="J207" s="22">
        <f>(BALCONS!J207/BALCONS!$J$210)*100</f>
        <v>-6.4685539486003796</v>
      </c>
      <c r="K207" s="79">
        <f>(BALCONS!K207/BALCONS!$K$210)*100</f>
        <v>-0.90984285374723861</v>
      </c>
    </row>
    <row r="208" spans="1:11" x14ac:dyDescent="0.2">
      <c r="A208" s="93">
        <v>202</v>
      </c>
      <c r="B208" s="20">
        <f>+BALANCE!B837</f>
        <v>3603</v>
      </c>
      <c r="C208" s="21" t="str">
        <f>+BALANCE!C837</f>
        <v>Utilidad o exedenter del ejercicio</v>
      </c>
      <c r="D208" s="22">
        <f>(BALCONS!D208/BALCONS!$D$210)*100</f>
        <v>0</v>
      </c>
      <c r="E208" s="22">
        <f>(BALCONS!E208/BALCONS!$D$210)*100</f>
        <v>0</v>
      </c>
      <c r="F208" s="22">
        <f>(BALCONS!F208/BALCONS!$F$210)*100</f>
        <v>0</v>
      </c>
      <c r="G208" s="22">
        <f>(BALCONS!G208/BALCONS!$G$210)*100</f>
        <v>0</v>
      </c>
      <c r="H208" s="22">
        <f>(BALCONS!H208/BALCONS!$H$210)*100</f>
        <v>0</v>
      </c>
      <c r="I208" s="22">
        <f>(BALCONS!I208/BALCONS!$I$210)*100</f>
        <v>0</v>
      </c>
      <c r="J208" s="22">
        <f>(BALCONS!J208/BALCONS!$J$210)*100</f>
        <v>0</v>
      </c>
      <c r="K208" s="79">
        <f>(BALCONS!K208/BALCONS!$K$210)*100</f>
        <v>0</v>
      </c>
    </row>
    <row r="209" spans="1:11" x14ac:dyDescent="0.2">
      <c r="A209" s="93">
        <v>203</v>
      </c>
      <c r="B209" s="20">
        <f>+BALANCE!B838</f>
        <v>3604</v>
      </c>
      <c r="C209" s="21" t="str">
        <f>+BALANCE!C838</f>
        <v>(Pérdida del ejercicio)</v>
      </c>
      <c r="D209" s="22">
        <f>(BALCONS!D209/BALCONS!$D$210)*100</f>
        <v>0</v>
      </c>
      <c r="E209" s="22">
        <f>(BALCONS!E209/BALCONS!$D$210)*100</f>
        <v>0</v>
      </c>
      <c r="F209" s="22">
        <f>(BALCONS!F209/BALCONS!$F$210)*100</f>
        <v>0</v>
      </c>
      <c r="G209" s="22">
        <f>(BALCONS!G209/BALCONS!$G$210)*100</f>
        <v>0</v>
      </c>
      <c r="H209" s="22">
        <f>(BALCONS!H209/BALCONS!$H$210)*100</f>
        <v>0</v>
      </c>
      <c r="I209" s="22">
        <f>(BALCONS!I209/BALCONS!$I$210)*100</f>
        <v>0</v>
      </c>
      <c r="J209" s="22">
        <f>(BALCONS!J209/BALCONS!$J$210)*100</f>
        <v>0</v>
      </c>
      <c r="K209" s="79">
        <f>(BALCONS!K209/BALCONS!$K$210)*100</f>
        <v>0</v>
      </c>
    </row>
    <row r="210" spans="1:11" ht="15" x14ac:dyDescent="0.25">
      <c r="A210" s="93">
        <v>204</v>
      </c>
      <c r="B210" s="20"/>
      <c r="C210" s="24" t="str">
        <f>+BALANCE!C839</f>
        <v>TOTAL PATRIMONIO</v>
      </c>
      <c r="D210" s="81">
        <f>(BALCONS!D210/BALCONS!$D$210)*100</f>
        <v>100</v>
      </c>
      <c r="E210" s="81">
        <f>(BALCONS!E210/BALCONS!$D$210)*100</f>
        <v>100</v>
      </c>
      <c r="F210" s="81">
        <f>(BALCONS!F210/BALCONS!$F$210)*100</f>
        <v>100</v>
      </c>
      <c r="G210" s="81">
        <f>(BALCONS!G210/BALCONS!$G$210)*100</f>
        <v>100</v>
      </c>
      <c r="H210" s="81">
        <f>(BALCONS!H210/BALCONS!$H$210)*100</f>
        <v>100</v>
      </c>
      <c r="I210" s="81">
        <f>(BALCONS!I210/BALCONS!$I$210)*100</f>
        <v>100</v>
      </c>
      <c r="J210" s="81">
        <f>(BALCONS!J210/BALCONS!$J$210)*100</f>
        <v>100</v>
      </c>
      <c r="K210" s="82">
        <f>(BALCONS!K210/BALCONS!$K$210)*100</f>
        <v>100</v>
      </c>
    </row>
    <row r="211" spans="1:11" ht="15" x14ac:dyDescent="0.25">
      <c r="A211" s="93">
        <v>205</v>
      </c>
      <c r="B211" s="20"/>
      <c r="C211" s="24"/>
      <c r="D211" s="81"/>
      <c r="E211" s="81"/>
      <c r="F211" s="81"/>
      <c r="G211" s="81"/>
      <c r="H211" s="81"/>
      <c r="I211" s="81"/>
      <c r="J211" s="81"/>
      <c r="K211" s="82"/>
    </row>
    <row r="212" spans="1:11" ht="15" x14ac:dyDescent="0.25">
      <c r="A212" s="93">
        <v>206</v>
      </c>
      <c r="B212" s="25"/>
      <c r="C212" s="92" t="s">
        <v>747</v>
      </c>
      <c r="D212" s="84">
        <f>(BALCONS!D210/BALCONS!$E$210)*100</f>
        <v>100</v>
      </c>
      <c r="E212" s="84">
        <f>(BALCONS!E210/BALCONS!$E$210)*100</f>
        <v>100</v>
      </c>
      <c r="F212" s="84">
        <f>(BALCONS!F210/BALCONS!$I$210)*100</f>
        <v>25.013269569609463</v>
      </c>
      <c r="G212" s="84">
        <f>(BALCONS!G210/BALCONS!$I$210)*100</f>
        <v>25.169669466188026</v>
      </c>
      <c r="H212" s="84">
        <f>(BALCONS!H210/BALCONS!$I$210)*100</f>
        <v>49.817060964202511</v>
      </c>
      <c r="I212" s="84">
        <f>(BALCONS!I210/BALCONS!$I$210)*100</f>
        <v>100</v>
      </c>
      <c r="J212" s="84">
        <f>(BALCONS!J210/BALCONS!$J$210)*100</f>
        <v>100</v>
      </c>
      <c r="K212" s="85">
        <f>(BALCONS!K210/BALCONS!$K$210)*100</f>
        <v>100</v>
      </c>
    </row>
    <row r="213" spans="1:11" ht="15" x14ac:dyDescent="0.25">
      <c r="C213" s="36"/>
      <c r="D213" s="36"/>
    </row>
    <row r="214" spans="1:11" ht="15" x14ac:dyDescent="0.25">
      <c r="C214" s="36"/>
      <c r="D214" s="36"/>
    </row>
    <row r="215" spans="1:11" ht="15" x14ac:dyDescent="0.25">
      <c r="C215" s="36"/>
      <c r="D215" s="36"/>
    </row>
    <row r="216" spans="1:11" ht="15" x14ac:dyDescent="0.25">
      <c r="C216" s="36"/>
      <c r="D216" s="3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D61:K67"/>
  <sheetViews>
    <sheetView showGridLines="0" zoomScale="75" zoomScaleNormal="75" workbookViewId="0">
      <selection activeCell="A2" sqref="A2"/>
    </sheetView>
  </sheetViews>
  <sheetFormatPr baseColWidth="10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61" spans="4:11" x14ac:dyDescent="0.2">
      <c r="D61" s="93"/>
      <c r="E61" s="93" t="s">
        <v>5</v>
      </c>
      <c r="F61" s="93" t="s">
        <v>7</v>
      </c>
      <c r="G61" s="93" t="s">
        <v>8</v>
      </c>
      <c r="H61" s="93" t="s">
        <v>9</v>
      </c>
      <c r="I61" s="93" t="s">
        <v>12</v>
      </c>
      <c r="J61" s="93" t="s">
        <v>11</v>
      </c>
      <c r="K61" s="93"/>
    </row>
    <row r="62" spans="4:11" x14ac:dyDescent="0.2">
      <c r="D62" s="93" t="s">
        <v>13</v>
      </c>
      <c r="E62" s="94">
        <f>+BALANCE!D617</f>
        <v>260130.65908000001</v>
      </c>
      <c r="F62" s="94">
        <f>+BALANCE!F617</f>
        <v>1377321.1102499999</v>
      </c>
      <c r="G62" s="94">
        <f>+BALANCE!G617</f>
        <v>1514532.4000800001</v>
      </c>
      <c r="H62" s="94">
        <f>+BALANCE!H617</f>
        <v>2227612.5454500001</v>
      </c>
      <c r="I62" s="94">
        <f>+BALANCE!K617</f>
        <v>408331.20366</v>
      </c>
      <c r="J62" s="94">
        <f>+BALANCE!J617</f>
        <v>5379596.7148599997</v>
      </c>
      <c r="K62" s="93"/>
    </row>
    <row r="63" spans="4:11" x14ac:dyDescent="0.2">
      <c r="D63" s="93" t="s">
        <v>293</v>
      </c>
      <c r="E63" s="94">
        <f>+BALANCE!D805</f>
        <v>183493.60060999999</v>
      </c>
      <c r="F63" s="94">
        <f>+BALANCE!F805</f>
        <v>929373.24679</v>
      </c>
      <c r="G63" s="94">
        <f>+BALANCE!G805</f>
        <v>1111302.22538</v>
      </c>
      <c r="H63" s="94">
        <f>+BALANCE!H805</f>
        <v>1340639.9969899999</v>
      </c>
      <c r="I63" s="94">
        <f>+BALANCE!K805</f>
        <v>40222.585950000001</v>
      </c>
      <c r="J63" s="94">
        <f>+BALANCE!J805</f>
        <v>3564809.0697699999</v>
      </c>
      <c r="K63" s="93"/>
    </row>
    <row r="64" spans="4:11" x14ac:dyDescent="0.2">
      <c r="D64" s="93" t="s">
        <v>397</v>
      </c>
      <c r="E64" s="94">
        <f>+BALANCE!D839</f>
        <v>82054.717470000003</v>
      </c>
      <c r="F64" s="94">
        <f>+BALANCE!F839</f>
        <v>411672.34602</v>
      </c>
      <c r="G64" s="94">
        <f>+BALANCE!G839</f>
        <v>414246.40025000001</v>
      </c>
      <c r="H64" s="94">
        <f>+BALANCE!H839</f>
        <v>819897.06710999995</v>
      </c>
      <c r="I64" s="94">
        <f>+BALANCE!K839</f>
        <v>363639.52811999997</v>
      </c>
      <c r="J64" s="94">
        <f>+BALANCE!J839</f>
        <v>1727870.53085</v>
      </c>
      <c r="K64" s="93"/>
    </row>
    <row r="65" spans="4:11" x14ac:dyDescent="0.2">
      <c r="D65" s="93" t="s">
        <v>748</v>
      </c>
      <c r="E65" s="94">
        <f>+BALANCE!D86</f>
        <v>171838.32339999999</v>
      </c>
      <c r="F65" s="94">
        <f>+BALANCE!F86</f>
        <v>936618.43749000004</v>
      </c>
      <c r="G65" s="94">
        <f>+BALANCE!G86</f>
        <v>818648.83354999998</v>
      </c>
      <c r="H65" s="94">
        <f>+BALANCE!H86</f>
        <v>1121186.24346</v>
      </c>
      <c r="I65" s="94">
        <f>+BALANCE!K86</f>
        <v>273453.80021999998</v>
      </c>
      <c r="J65" s="94">
        <f>+BALANCE!J86</f>
        <v>3048291.8379000002</v>
      </c>
      <c r="K65" s="93"/>
    </row>
    <row r="66" spans="4:11" x14ac:dyDescent="0.2">
      <c r="D66" s="93" t="s">
        <v>294</v>
      </c>
      <c r="E66" s="94">
        <f>+BALANCE!D624</f>
        <v>160006.48314999999</v>
      </c>
      <c r="F66" s="94">
        <f>+BALANCE!F624</f>
        <v>427092.83601000003</v>
      </c>
      <c r="G66" s="94">
        <f>+BALANCE!G624</f>
        <v>1006696.77302</v>
      </c>
      <c r="H66" s="94">
        <f>+BALANCE!H624</f>
        <v>1181384.28309</v>
      </c>
      <c r="I66" s="94">
        <f>+BALANCE!K624</f>
        <v>0</v>
      </c>
      <c r="J66" s="94">
        <f>+BALANCE!J624</f>
        <v>2775180.3752699997</v>
      </c>
      <c r="K66" s="93"/>
    </row>
    <row r="67" spans="4:11" x14ac:dyDescent="0.2">
      <c r="D67" s="93"/>
      <c r="E67" s="93"/>
      <c r="F67" s="93"/>
      <c r="G67" s="93"/>
      <c r="H67" s="93"/>
      <c r="I67" s="93"/>
      <c r="J67" s="93"/>
      <c r="K67" s="9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B18"/>
  <sheetViews>
    <sheetView showGridLines="0" zoomScale="75" zoomScaleNormal="75" workbookViewId="0">
      <selection activeCell="A2" sqref="A2"/>
    </sheetView>
  </sheetViews>
  <sheetFormatPr baseColWidth="10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7.5703125" style="11" customWidth="1"/>
    <col min="8" max="8" width="60" style="11" customWidth="1"/>
    <col min="9" max="12" width="15.85546875" style="11" customWidth="1"/>
    <col min="13" max="13" width="11.42578125" style="11"/>
    <col min="14" max="14" width="59" style="11" customWidth="1"/>
    <col min="15" max="18" width="15.85546875" style="11" customWidth="1"/>
    <col min="19" max="19" width="11.42578125" style="11"/>
    <col min="20" max="20" width="59" style="11" customWidth="1"/>
    <col min="21" max="24" width="15.85546875" style="11" customWidth="1"/>
    <col min="25" max="25" width="11.42578125" style="11"/>
    <col min="26" max="26" width="59" style="11" customWidth="1"/>
    <col min="27" max="30" width="15.85546875" style="11" customWidth="1"/>
    <col min="31" max="31" width="11.42578125" style="11"/>
    <col min="32" max="32" width="60" style="11" customWidth="1"/>
    <col min="33" max="36" width="15.85546875" style="11" customWidth="1"/>
    <col min="37" max="37" width="11.42578125" style="11"/>
    <col min="38" max="38" width="60" style="11" customWidth="1"/>
    <col min="39" max="42" width="15.85546875" style="11" customWidth="1"/>
    <col min="43" max="43" width="11.42578125" style="11"/>
    <col min="44" max="44" width="60" style="11" customWidth="1"/>
    <col min="45" max="48" width="15.85546875" style="11" customWidth="1"/>
    <col min="49" max="49" width="11.42578125" style="11"/>
    <col min="50" max="50" width="60" style="11" customWidth="1"/>
    <col min="51" max="54" width="15.85546875" style="11" customWidth="1"/>
    <col min="55" max="16384" width="11.42578125" style="11"/>
  </cols>
  <sheetData>
    <row r="2" spans="2:54" ht="15" x14ac:dyDescent="0.25">
      <c r="B2" s="13" t="s">
        <v>749</v>
      </c>
    </row>
    <row r="3" spans="2:54" ht="15" x14ac:dyDescent="0.25">
      <c r="B3" s="36" t="str">
        <f>BALANCE!B3</f>
        <v>SISTEMA DE BANCA PUBLICA</v>
      </c>
    </row>
    <row r="4" spans="2:54" ht="15" x14ac:dyDescent="0.25">
      <c r="B4" s="95">
        <f>BALANCE!B4</f>
        <v>41182</v>
      </c>
    </row>
    <row r="5" spans="2:54" ht="15" x14ac:dyDescent="0.25">
      <c r="B5" s="13" t="s">
        <v>750</v>
      </c>
    </row>
    <row r="7" spans="2:54" x14ac:dyDescent="0.2">
      <c r="B7" s="96" t="s">
        <v>751</v>
      </c>
      <c r="C7" s="96"/>
      <c r="D7" s="96"/>
      <c r="E7" s="96"/>
      <c r="F7" s="96"/>
      <c r="H7" s="96" t="s">
        <v>752</v>
      </c>
      <c r="I7" s="96"/>
      <c r="J7" s="96"/>
      <c r="K7" s="96"/>
      <c r="L7" s="96"/>
      <c r="N7" s="96" t="s">
        <v>397</v>
      </c>
      <c r="O7" s="96"/>
      <c r="P7" s="96"/>
      <c r="Q7" s="96"/>
      <c r="R7" s="96"/>
      <c r="T7" s="96" t="s">
        <v>753</v>
      </c>
      <c r="U7" s="96"/>
      <c r="V7" s="96"/>
      <c r="W7" s="96"/>
      <c r="X7" s="96"/>
      <c r="Z7" s="96" t="s">
        <v>754</v>
      </c>
      <c r="AA7" s="96"/>
      <c r="AB7" s="96"/>
      <c r="AC7" s="96"/>
      <c r="AD7" s="96"/>
      <c r="AF7" s="96" t="s">
        <v>755</v>
      </c>
      <c r="AG7" s="96"/>
      <c r="AH7" s="96"/>
      <c r="AI7" s="96"/>
      <c r="AJ7" s="96"/>
      <c r="AL7" s="96" t="s">
        <v>756</v>
      </c>
      <c r="AM7" s="96"/>
      <c r="AN7" s="96"/>
      <c r="AO7" s="96"/>
      <c r="AP7" s="96"/>
      <c r="AR7" s="96" t="s">
        <v>757</v>
      </c>
      <c r="AS7" s="96"/>
      <c r="AT7" s="96"/>
      <c r="AU7" s="96"/>
      <c r="AV7" s="96"/>
      <c r="AX7" s="96" t="s">
        <v>422</v>
      </c>
      <c r="AY7" s="96"/>
      <c r="AZ7" s="96"/>
      <c r="BA7" s="96"/>
      <c r="BB7" s="96"/>
    </row>
    <row r="8" spans="2:54" x14ac:dyDescent="0.2">
      <c r="B8" s="96"/>
      <c r="C8" s="96"/>
      <c r="D8" s="96"/>
      <c r="E8" s="96"/>
      <c r="F8" s="96"/>
      <c r="H8" s="96"/>
      <c r="I8" s="96"/>
      <c r="J8" s="96"/>
      <c r="K8" s="96"/>
      <c r="L8" s="96"/>
      <c r="N8" s="96"/>
      <c r="O8" s="96"/>
      <c r="P8" s="96"/>
      <c r="Q8" s="96"/>
      <c r="R8" s="96"/>
      <c r="T8" s="96"/>
      <c r="U8" s="96"/>
      <c r="V8" s="96"/>
      <c r="W8" s="96"/>
      <c r="X8" s="96"/>
      <c r="Z8" s="96"/>
      <c r="AA8" s="96"/>
      <c r="AB8" s="96"/>
      <c r="AC8" s="96"/>
      <c r="AD8" s="96"/>
      <c r="AF8" s="96"/>
      <c r="AG8" s="96"/>
      <c r="AH8" s="96"/>
      <c r="AI8" s="96"/>
      <c r="AJ8" s="96"/>
      <c r="AL8" s="96"/>
      <c r="AM8" s="96"/>
      <c r="AN8" s="96"/>
      <c r="AO8" s="96"/>
      <c r="AP8" s="96"/>
      <c r="AR8" s="96"/>
      <c r="AS8" s="96"/>
      <c r="AT8" s="96"/>
      <c r="AU8" s="96"/>
      <c r="AV8" s="96"/>
      <c r="AX8" s="96"/>
      <c r="AY8" s="96"/>
      <c r="AZ8" s="96"/>
      <c r="BA8" s="96"/>
      <c r="BB8" s="96"/>
    </row>
    <row r="9" spans="2:54" ht="15" x14ac:dyDescent="0.25">
      <c r="B9" s="97" t="s">
        <v>758</v>
      </c>
      <c r="C9" s="98">
        <v>41152</v>
      </c>
      <c r="D9" s="98">
        <f>C9</f>
        <v>41152</v>
      </c>
      <c r="E9" s="98">
        <f>BALANCE!B4</f>
        <v>41182</v>
      </c>
      <c r="F9" s="99">
        <f>E9</f>
        <v>41182</v>
      </c>
      <c r="H9" s="97" t="s">
        <v>758</v>
      </c>
      <c r="I9" s="98">
        <f>C9</f>
        <v>41152</v>
      </c>
      <c r="J9" s="98">
        <f>I9</f>
        <v>41152</v>
      </c>
      <c r="K9" s="98">
        <f>E9</f>
        <v>41182</v>
      </c>
      <c r="L9" s="99">
        <f>K9</f>
        <v>41182</v>
      </c>
      <c r="N9" s="97" t="s">
        <v>758</v>
      </c>
      <c r="O9" s="98">
        <f>I9</f>
        <v>41152</v>
      </c>
      <c r="P9" s="98">
        <f>O9</f>
        <v>41152</v>
      </c>
      <c r="Q9" s="98">
        <f>K9</f>
        <v>41182</v>
      </c>
      <c r="R9" s="99">
        <f>Q9</f>
        <v>41182</v>
      </c>
      <c r="T9" s="97" t="s">
        <v>758</v>
      </c>
      <c r="U9" s="98">
        <f>O9</f>
        <v>41152</v>
      </c>
      <c r="V9" s="98">
        <f>U9</f>
        <v>41152</v>
      </c>
      <c r="W9" s="98">
        <f>Q9</f>
        <v>41182</v>
      </c>
      <c r="X9" s="99">
        <f>W9</f>
        <v>41182</v>
      </c>
      <c r="Z9" s="97" t="s">
        <v>758</v>
      </c>
      <c r="AA9" s="98">
        <f>U9</f>
        <v>41152</v>
      </c>
      <c r="AB9" s="98">
        <f>AA9</f>
        <v>41152</v>
      </c>
      <c r="AC9" s="98">
        <f>W9</f>
        <v>41182</v>
      </c>
      <c r="AD9" s="99">
        <f>AC9</f>
        <v>41182</v>
      </c>
      <c r="AF9" s="97" t="s">
        <v>758</v>
      </c>
      <c r="AG9" s="98">
        <f>AA9</f>
        <v>41152</v>
      </c>
      <c r="AH9" s="98">
        <f>AG9</f>
        <v>41152</v>
      </c>
      <c r="AI9" s="98">
        <f>AC9</f>
        <v>41182</v>
      </c>
      <c r="AJ9" s="99">
        <f>AI9</f>
        <v>41182</v>
      </c>
      <c r="AL9" s="97" t="s">
        <v>758</v>
      </c>
      <c r="AM9" s="98">
        <f>AG9</f>
        <v>41152</v>
      </c>
      <c r="AN9" s="98">
        <f>AM9</f>
        <v>41152</v>
      </c>
      <c r="AO9" s="98">
        <f>AI9</f>
        <v>41182</v>
      </c>
      <c r="AP9" s="99">
        <f>AO9</f>
        <v>41182</v>
      </c>
      <c r="AR9" s="97" t="s">
        <v>758</v>
      </c>
      <c r="AS9" s="98">
        <f>AM9</f>
        <v>41152</v>
      </c>
      <c r="AT9" s="98">
        <f>AS9</f>
        <v>41152</v>
      </c>
      <c r="AU9" s="98">
        <f>AO9</f>
        <v>41182</v>
      </c>
      <c r="AV9" s="99">
        <f>AU9</f>
        <v>41182</v>
      </c>
      <c r="AX9" s="97" t="s">
        <v>758</v>
      </c>
      <c r="AY9" s="98">
        <f>AS9</f>
        <v>41152</v>
      </c>
      <c r="AZ9" s="98">
        <f>AY9</f>
        <v>41152</v>
      </c>
      <c r="BA9" s="98">
        <f>AU9</f>
        <v>41182</v>
      </c>
      <c r="BB9" s="99">
        <f>BA9</f>
        <v>41182</v>
      </c>
    </row>
    <row r="10" spans="2:54" ht="15" x14ac:dyDescent="0.25">
      <c r="B10" s="100"/>
      <c r="C10" s="101" t="s">
        <v>759</v>
      </c>
      <c r="D10" s="102" t="s">
        <v>760</v>
      </c>
      <c r="E10" s="101" t="s">
        <v>759</v>
      </c>
      <c r="F10" s="103" t="s">
        <v>760</v>
      </c>
      <c r="H10" s="100"/>
      <c r="I10" s="101" t="s">
        <v>759</v>
      </c>
      <c r="J10" s="102" t="s">
        <v>760</v>
      </c>
      <c r="K10" s="101" t="s">
        <v>759</v>
      </c>
      <c r="L10" s="103" t="s">
        <v>760</v>
      </c>
      <c r="N10" s="100"/>
      <c r="O10" s="101" t="s">
        <v>759</v>
      </c>
      <c r="P10" s="102" t="s">
        <v>760</v>
      </c>
      <c r="Q10" s="101" t="s">
        <v>759</v>
      </c>
      <c r="R10" s="103" t="s">
        <v>760</v>
      </c>
      <c r="T10" s="100"/>
      <c r="U10" s="101" t="s">
        <v>759</v>
      </c>
      <c r="V10" s="102" t="s">
        <v>760</v>
      </c>
      <c r="W10" s="101" t="s">
        <v>759</v>
      </c>
      <c r="X10" s="103" t="s">
        <v>760</v>
      </c>
      <c r="Z10" s="100"/>
      <c r="AA10" s="101" t="s">
        <v>759</v>
      </c>
      <c r="AB10" s="102" t="s">
        <v>760</v>
      </c>
      <c r="AC10" s="101" t="s">
        <v>759</v>
      </c>
      <c r="AD10" s="103" t="s">
        <v>760</v>
      </c>
      <c r="AF10" s="100"/>
      <c r="AG10" s="101" t="s">
        <v>759</v>
      </c>
      <c r="AH10" s="102" t="s">
        <v>760</v>
      </c>
      <c r="AI10" s="101" t="s">
        <v>759</v>
      </c>
      <c r="AJ10" s="103" t="s">
        <v>760</v>
      </c>
      <c r="AL10" s="100"/>
      <c r="AM10" s="101" t="s">
        <v>759</v>
      </c>
      <c r="AN10" s="102" t="s">
        <v>760</v>
      </c>
      <c r="AO10" s="101" t="s">
        <v>759</v>
      </c>
      <c r="AP10" s="103" t="s">
        <v>760</v>
      </c>
      <c r="AR10" s="100"/>
      <c r="AS10" s="101" t="s">
        <v>759</v>
      </c>
      <c r="AT10" s="102" t="s">
        <v>760</v>
      </c>
      <c r="AU10" s="101" t="s">
        <v>759</v>
      </c>
      <c r="AV10" s="103" t="s">
        <v>760</v>
      </c>
      <c r="AX10" s="100"/>
      <c r="AY10" s="101" t="s">
        <v>759</v>
      </c>
      <c r="AZ10" s="102" t="s">
        <v>760</v>
      </c>
      <c r="BA10" s="101" t="s">
        <v>759</v>
      </c>
      <c r="BB10" s="103" t="s">
        <v>760</v>
      </c>
    </row>
    <row r="11" spans="2:54" x14ac:dyDescent="0.2">
      <c r="B11" s="74"/>
      <c r="C11" s="62"/>
      <c r="D11" s="62"/>
      <c r="E11" s="62"/>
      <c r="F11" s="63"/>
      <c r="H11" s="74"/>
      <c r="I11" s="62"/>
      <c r="J11" s="62"/>
      <c r="K11" s="62"/>
      <c r="L11" s="63"/>
      <c r="N11" s="74"/>
      <c r="O11" s="62"/>
      <c r="P11" s="62"/>
      <c r="Q11" s="62"/>
      <c r="R11" s="63"/>
      <c r="T11" s="74"/>
      <c r="U11" s="62"/>
      <c r="V11" s="62"/>
      <c r="W11" s="62"/>
      <c r="X11" s="63"/>
      <c r="Z11" s="74"/>
      <c r="AA11" s="62"/>
      <c r="AB11" s="62"/>
      <c r="AC11" s="62"/>
      <c r="AD11" s="63"/>
      <c r="AF11" s="74"/>
      <c r="AG11" s="62"/>
      <c r="AH11" s="62"/>
      <c r="AI11" s="62"/>
      <c r="AJ11" s="63"/>
      <c r="AL11" s="74"/>
      <c r="AM11" s="62"/>
      <c r="AN11" s="62"/>
      <c r="AO11" s="62"/>
      <c r="AP11" s="63"/>
      <c r="AR11" s="74"/>
      <c r="AS11" s="62"/>
      <c r="AT11" s="62"/>
      <c r="AU11" s="62"/>
      <c r="AV11" s="63"/>
      <c r="AX11" s="74"/>
      <c r="AY11" s="62"/>
      <c r="AZ11" s="62"/>
      <c r="BA11" s="62"/>
      <c r="BB11" s="63"/>
    </row>
    <row r="12" spans="2:54" x14ac:dyDescent="0.2">
      <c r="B12" s="20" t="str">
        <f>BALANCE!D$7</f>
        <v>BANCO ECUATORIANO DE LA VIVIENDA</v>
      </c>
      <c r="C12" s="67">
        <f>HLOOKUP(B12,[2]PROMEDIO!$C$2:$L$290,11,FALSE)</f>
        <v>276645.46262000001</v>
      </c>
      <c r="D12" s="104">
        <f>+C12/$C$17*100</f>
        <v>5.2073143401905639</v>
      </c>
      <c r="E12" s="67">
        <f>HLOOKUP(B12,BALANCE!$B$7:$K$1098,611,FALSE)</f>
        <v>260130.65908000001</v>
      </c>
      <c r="F12" s="105">
        <f>+E12/$E$17*100</f>
        <v>4.835504831829569</v>
      </c>
      <c r="H12" s="20" t="str">
        <f>$B$12</f>
        <v>BANCO ECUATORIANO DE LA VIVIENDA</v>
      </c>
      <c r="I12" s="67">
        <f>HLOOKUP(H12,[2]PROMEDIO!$C$2:$L$290,27,FALSE)</f>
        <v>197900.69505000001</v>
      </c>
      <c r="J12" s="104">
        <f>+I12/$I$17*100</f>
        <v>5.6507266871602368</v>
      </c>
      <c r="K12" s="67">
        <f>HLOOKUP(H12,BALANCE!$B$7:$K$1098,799,FALSE)</f>
        <v>183493.60060999999</v>
      </c>
      <c r="L12" s="105">
        <f>+K12/$K$17*100</f>
        <v>5.1473612476485009</v>
      </c>
      <c r="N12" s="20" t="str">
        <f>$B$12</f>
        <v>BANCO ECUATORIANO DE LA VIVIENDA</v>
      </c>
      <c r="O12" s="67">
        <f>HLOOKUP(N12,[2]PROMEDIO!$C$2:$L$290,139,FALSE)</f>
        <v>82172.463300000003</v>
      </c>
      <c r="P12" s="104">
        <f>+O12/$O$17*100</f>
        <v>4.7649190247014035</v>
      </c>
      <c r="Q12" s="67">
        <f>HLOOKUP(N12,BALANCE!$B$7:$K$1098,833,FALSE)</f>
        <v>82054.717470000003</v>
      </c>
      <c r="R12" s="68">
        <f>+Q12/$Q$17*100</f>
        <v>4.748892697975144</v>
      </c>
      <c r="T12" s="20" t="str">
        <f>$B$12</f>
        <v>BANCO ECUATORIANO DE LA VIVIENDA</v>
      </c>
      <c r="U12" s="67">
        <f>HLOOKUP(T12,[2]PROMEDIO!$C$2:$L$290,123,FALSE)</f>
        <v>26308.501950000002</v>
      </c>
      <c r="V12" s="104">
        <f>+U12/$U$17*100</f>
        <v>2.7529921471869581</v>
      </c>
      <c r="W12" s="67">
        <f>HLOOKUP(T12,CONSCOND!$B$7:$K$88,5,FALSE)-HLOOKUP(T12,CONSCOND!$B$7:$K$88,9,FALSE)</f>
        <v>25238.65782</v>
      </c>
      <c r="X12" s="68">
        <f>+W12/$Q$17*100</f>
        <v>1.4606799160805306</v>
      </c>
      <c r="Z12" s="20" t="str">
        <f>$B$12</f>
        <v>BANCO ECUATORIANO DE LA VIVIENDA</v>
      </c>
      <c r="AA12" s="67">
        <f>HLOOKUP(Z12,[2]PROMEDIO!$C$2:$L$290,43,FALSE)</f>
        <v>182550.37728000002</v>
      </c>
      <c r="AB12" s="67">
        <f>+AA12/$AA$17*100</f>
        <v>5.7025106830084233</v>
      </c>
      <c r="AC12" s="67">
        <f>HLOOKUP(Z12,'COMPOS CART'!$B$6:$K$95,3,FALSE)</f>
        <v>188397.69068999999</v>
      </c>
      <c r="AD12" s="105">
        <f>+AC12/$AC$17*100</f>
        <v>5.7851963727228011</v>
      </c>
      <c r="AF12" s="20" t="str">
        <f>$B$12</f>
        <v>BANCO ECUATORIANO DE LA VIVIENDA</v>
      </c>
      <c r="AG12" s="67">
        <f>HLOOKUP(AF12,[2]PROMEDIO!$C$2:$L$290,59,FALSE)</f>
        <v>22287.28731</v>
      </c>
      <c r="AH12" s="104">
        <f>+AG12/$AG$17*100</f>
        <v>3.2880342155654523</v>
      </c>
      <c r="AI12" s="67">
        <f>HLOOKUP(AF12,CONSCOND!$B$7:$K$92,40,FALSE)+HLOOKUP(AF12,CONSCOND!$B$7:$K$92,44,FALSE)</f>
        <v>20782.49872</v>
      </c>
      <c r="AJ12" s="105">
        <f>+AI12/$AI$17*100</f>
        <v>2.911784041366233</v>
      </c>
      <c r="AL12" s="20" t="str">
        <f>$B$12</f>
        <v>BANCO ECUATORIANO DE LA VIVIENDA</v>
      </c>
      <c r="AM12" s="67">
        <f>HLOOKUP(AL12,[2]PROMEDIO!$C$2:$L$290,75,FALSE)</f>
        <v>124999.99999</v>
      </c>
      <c r="AN12" s="104">
        <f>+AM12/$AM$17*100</f>
        <v>6.0559045051758069</v>
      </c>
      <c r="AO12" s="67">
        <f>HLOOKUP(AL12,CONSCOND!$B$7:$K$92,42,FALSE)</f>
        <v>112499.99999</v>
      </c>
      <c r="AP12" s="105">
        <f>+AO12/$AO$17*100</f>
        <v>5.5324654232631971</v>
      </c>
      <c r="AR12" s="20" t="str">
        <f>$B$12</f>
        <v>BANCO ECUATORIANO DE LA VIVIENDA</v>
      </c>
      <c r="AS12" s="67">
        <f>+HLOOKUP(AR12,[2]PROMEDIO!$C$2:$L$291,91,FALSE)</f>
        <v>52270.871790000005</v>
      </c>
      <c r="AT12" s="104">
        <f>+AS12/$AS$17*100</f>
        <v>4.6469964892030822</v>
      </c>
      <c r="AU12" s="67">
        <f>HLOOKUP(AR12,CONSCOND!$B$7:$K$92,66,FALSE)+HLOOKUP(AR12,CONSCOND!$B$7:$K$92,68,FALSE)</f>
        <v>52270.871790000005</v>
      </c>
      <c r="AV12" s="105">
        <f>+AU12/$AU$17*100</f>
        <v>4.6469964892030822</v>
      </c>
      <c r="AX12" s="20" t="str">
        <f>$B$12</f>
        <v>BANCO ECUATORIANO DE LA VIVIENDA</v>
      </c>
      <c r="AY12" s="67">
        <f>HLOOKUP(AX12,[2]PROMEDIO!$B$2:$L$290,107,FALSE)</f>
        <v>-3427.6957299999995</v>
      </c>
      <c r="AZ12" s="104">
        <f>+AY12/$AY$17*100</f>
        <v>-3.9910087598866002</v>
      </c>
      <c r="BA12" s="67">
        <f>+HLOOKUP(RK!AX12,PYG!$B$7:$K$104,98,FALSE)</f>
        <v>-5417.6589999999997</v>
      </c>
      <c r="BB12" s="105">
        <f>+BA12/$BA$17*100</f>
        <v>-6.2331326199354491</v>
      </c>
    </row>
    <row r="13" spans="2:54" x14ac:dyDescent="0.2">
      <c r="B13" s="20" t="str">
        <f>BALANCE!F$7</f>
        <v>BANCO DEL ESTADO</v>
      </c>
      <c r="C13" s="67">
        <f>HLOOKUP(B13,[2]PROMEDIO!$C$2:$L$290,11,FALSE)</f>
        <v>1320434.02428</v>
      </c>
      <c r="D13" s="104">
        <f>+C13/$C$17*100</f>
        <v>24.854609812825782</v>
      </c>
      <c r="E13" s="67">
        <f>HLOOKUP(B13,BALANCE!$B$7:$K$1098,611,FALSE)</f>
        <v>1377321.1102499999</v>
      </c>
      <c r="F13" s="105">
        <f>+E13/$E$17*100</f>
        <v>25.602683309799808</v>
      </c>
      <c r="H13" s="20" t="str">
        <f>$B$13</f>
        <v>BANCO DEL ESTADO</v>
      </c>
      <c r="I13" s="67">
        <f>HLOOKUP(H13,[2]PROMEDIO!$C$2:$L$290,27,FALSE)</f>
        <v>879950.59207999997</v>
      </c>
      <c r="J13" s="104">
        <f>+I13/$I$17*100</f>
        <v>25.125532241271969</v>
      </c>
      <c r="K13" s="67">
        <f>HLOOKUP(H13,BALANCE!$B$7:$K$1098,799,FALSE)</f>
        <v>929373.24679</v>
      </c>
      <c r="L13" s="105">
        <f>+K13/$K$17*100</f>
        <v>26.070772055401072</v>
      </c>
      <c r="N13" s="20" t="str">
        <f>$B$13</f>
        <v>BANCO DEL ESTADO</v>
      </c>
      <c r="O13" s="67">
        <f>HLOOKUP(N13,[2]PROMEDIO!$C$2:$L$290,139,FALSE)</f>
        <v>408486.71789999999</v>
      </c>
      <c r="P13" s="104">
        <f>+O13/$O$17*100</f>
        <v>23.6868417386186</v>
      </c>
      <c r="Q13" s="67">
        <f>HLOOKUP(N13,BALANCE!$B$7:$K$1098,833,FALSE)</f>
        <v>411672.34602</v>
      </c>
      <c r="R13" s="68">
        <f>+Q13/$Q$17*100</f>
        <v>23.825416237493442</v>
      </c>
      <c r="T13" s="20" t="str">
        <f>$B$13</f>
        <v>BANCO DEL ESTADO</v>
      </c>
      <c r="U13" s="67">
        <f>HLOOKUP(T13,[2]PROMEDIO!$C$2:$L$290,123,FALSE)</f>
        <v>179752.60798</v>
      </c>
      <c r="V13" s="104">
        <f>+U13/$U$17*100</f>
        <v>18.809794611103491</v>
      </c>
      <c r="W13" s="67">
        <f>HLOOKUP(T13,CONSCOND!$B$7:$K$88,5,FALSE)-HLOOKUP(T13,CONSCOND!$B$7:$K$88,9,FALSE)</f>
        <v>179922.13545</v>
      </c>
      <c r="X13" s="68">
        <f>+W13/$Q$17*100</f>
        <v>10.412940798376253</v>
      </c>
      <c r="Z13" s="20" t="str">
        <f>$B$13</f>
        <v>BANCO DEL ESTADO</v>
      </c>
      <c r="AA13" s="67">
        <f>HLOOKUP(Z13,[2]PROMEDIO!$C$2:$L$290,43,FALSE)</f>
        <v>946756.20468000008</v>
      </c>
      <c r="AB13" s="67">
        <f>+AA13/$AA$17*100</f>
        <v>29.574780681560963</v>
      </c>
      <c r="AC13" s="67">
        <f>HLOOKUP(Z13,'COMPOS CART'!$B$6:$K$95,3,FALSE)</f>
        <v>947796.17175999994</v>
      </c>
      <c r="AD13" s="105">
        <f>+AC13/$AC$17*100</f>
        <v>29.104321580930886</v>
      </c>
      <c r="AF13" s="20" t="str">
        <f>$B$13</f>
        <v>BANCO DEL ESTADO</v>
      </c>
      <c r="AG13" s="67">
        <f>HLOOKUP(AF13,[2]PROMEDIO!$C$2:$L$290,59,FALSE)</f>
        <v>0</v>
      </c>
      <c r="AH13" s="104">
        <f>+AG13/$AG$17*100</f>
        <v>0</v>
      </c>
      <c r="AI13" s="67">
        <f>HLOOKUP(AF13,CONSCOND!$B$7:$K$92,40,FALSE)+HLOOKUP(AF13,CONSCOND!$B$7:$K$92,44,FALSE)</f>
        <v>0</v>
      </c>
      <c r="AJ13" s="105">
        <f>+AI13/$AI$17*100</f>
        <v>0</v>
      </c>
      <c r="AL13" s="20" t="str">
        <f>$B$13</f>
        <v>BANCO DEL ESTADO</v>
      </c>
      <c r="AM13" s="67">
        <f>HLOOKUP(AL13,[2]PROMEDIO!$C$2:$L$290,75,FALSE)</f>
        <v>428189.42378999997</v>
      </c>
      <c r="AN13" s="104">
        <f>+AM13/$AM$17*100</f>
        <v>20.744594086447517</v>
      </c>
      <c r="AO13" s="67">
        <f>HLOOKUP(AL13,CONSCOND!$B$7:$K$92,42,FALSE)</f>
        <v>427092.83601000003</v>
      </c>
      <c r="AP13" s="105">
        <f>+AO13/$AO$17*100</f>
        <v>21.003345315189133</v>
      </c>
      <c r="AR13" s="20" t="str">
        <f>$B$13</f>
        <v>BANCO DEL ESTADO</v>
      </c>
      <c r="AS13" s="67">
        <f>+HLOOKUP(AR13,[2]PROMEDIO!$C$2:$L$291,91,FALSE)</f>
        <v>370168.93418000004</v>
      </c>
      <c r="AT13" s="104">
        <f>+AS13/$AS$17*100</f>
        <v>32.90883963935714</v>
      </c>
      <c r="AU13" s="67">
        <f>HLOOKUP(AR13,CONSCOND!$B$7:$K$92,66,FALSE)+HLOOKUP(AR13,CONSCOND!$B$7:$K$92,68,FALSE)</f>
        <v>370168.93418000004</v>
      </c>
      <c r="AV13" s="105">
        <f>+AU13/$AU$17*100</f>
        <v>32.90883963935714</v>
      </c>
      <c r="AX13" s="20" t="str">
        <f>$B$13</f>
        <v>BANCO DEL ESTADO</v>
      </c>
      <c r="AY13" s="67">
        <f>HLOOKUP(AX13,[2]PROMEDIO!$B$2:$L$290,107,FALSE)</f>
        <v>31996.714300000003</v>
      </c>
      <c r="AZ13" s="104">
        <f>+AY13/$AY$17*100</f>
        <v>37.255105796362173</v>
      </c>
      <c r="BA13" s="67">
        <f>+HLOOKUP(RK!AX13,PYG!$B$7:$K$104,98,FALSE)</f>
        <v>36275.517440000003</v>
      </c>
      <c r="BB13" s="105">
        <f>+BA13/$BA$17*100</f>
        <v>41.735759127752651</v>
      </c>
    </row>
    <row r="14" spans="2:54" x14ac:dyDescent="0.2">
      <c r="B14" s="20" t="str">
        <f>BALANCE!H$7</f>
        <v>CORPORACION FINANCIERA NACIONAL</v>
      </c>
      <c r="C14" s="67">
        <f>HLOOKUP(B14,[2]PROMEDIO!$C$2:$L$290,11,FALSE)</f>
        <v>2275173.5773</v>
      </c>
      <c r="D14" s="104">
        <f>+C14/$C$17*100</f>
        <v>42.825730388973462</v>
      </c>
      <c r="E14" s="67">
        <f>HLOOKUP(B14,BALANCE!$B$7:$K$1098,611,FALSE)</f>
        <v>2227612.5454500001</v>
      </c>
      <c r="F14" s="105">
        <f>+E14/$E$17*100</f>
        <v>41.408541634667351</v>
      </c>
      <c r="H14" s="20" t="str">
        <f>$B$14</f>
        <v>CORPORACION FINANCIERA NACIONAL</v>
      </c>
      <c r="I14" s="67">
        <f>HLOOKUP(H14,[2]PROMEDIO!$C$2:$L$290,27,FALSE)</f>
        <v>1387364.82305</v>
      </c>
      <c r="J14" s="104">
        <f>+I14/$I$17*100</f>
        <v>39.613905491616784</v>
      </c>
      <c r="K14" s="67">
        <f>HLOOKUP(H14,BALANCE!$B$7:$K$1098,799,FALSE)</f>
        <v>1340639.9969899999</v>
      </c>
      <c r="L14" s="105">
        <f>+K14/$K$17*100</f>
        <v>37.607624160261054</v>
      </c>
      <c r="N14" s="20" t="str">
        <f>$B$14</f>
        <v>CORPORACION FINANCIERA NACIONAL</v>
      </c>
      <c r="O14" s="67">
        <f>HLOOKUP(N14,[2]PROMEDIO!$C$2:$L$290,139,FALSE)</f>
        <v>819706.44449999998</v>
      </c>
      <c r="P14" s="104">
        <f>+O14/$O$17*100</f>
        <v>47.532161933721596</v>
      </c>
      <c r="Q14" s="67">
        <f>HLOOKUP(N14,BALANCE!$B$7:$K$1098,833,FALSE)</f>
        <v>819897.06710999995</v>
      </c>
      <c r="R14" s="68">
        <f>+Q14/$Q$17*100</f>
        <v>47.45130219372767</v>
      </c>
      <c r="T14" s="20" t="str">
        <f>$B$14</f>
        <v>CORPORACION FINANCIERA NACIONAL</v>
      </c>
      <c r="U14" s="67">
        <f>HLOOKUP(T14,[2]PROMEDIO!$C$2:$L$290,123,FALSE)</f>
        <v>474735.50771999999</v>
      </c>
      <c r="V14" s="104">
        <f>+U14/$U$17*100</f>
        <v>49.677595753184775</v>
      </c>
      <c r="W14" s="67">
        <f>HLOOKUP(T14,CONSCOND!$B$7:$K$88,5,FALSE)-HLOOKUP(T14,CONSCOND!$B$7:$K$88,9,FALSE)</f>
        <v>436943.98874999996</v>
      </c>
      <c r="X14" s="68">
        <f>+W14/$Q$17*100</f>
        <v>25.288005145562149</v>
      </c>
      <c r="Z14" s="20" t="str">
        <f>$B$14</f>
        <v>CORPORACION FINANCIERA NACIONAL</v>
      </c>
      <c r="AA14" s="67">
        <f>HLOOKUP(Z14,[2]PROMEDIO!$C$2:$L$290,43,FALSE)</f>
        <v>1159491.68475</v>
      </c>
      <c r="AB14" s="67">
        <f>+AA14/$AA$17*100</f>
        <v>36.220213935820297</v>
      </c>
      <c r="AC14" s="67">
        <f>HLOOKUP(Z14,'COMPOS CART'!$B$6:$K$95,3,FALSE)</f>
        <v>1195825.8039500001</v>
      </c>
      <c r="AD14" s="105">
        <f>+AC14/$AC$17*100</f>
        <v>36.720657658183676</v>
      </c>
      <c r="AF14" s="20" t="str">
        <f>$B$14</f>
        <v>CORPORACION FINANCIERA NACIONAL</v>
      </c>
      <c r="AG14" s="67">
        <f>HLOOKUP(AF14,[2]PROMEDIO!$C$2:$L$290,59,FALSE)</f>
        <v>0</v>
      </c>
      <c r="AH14" s="104">
        <f>+AG14/$AG$17*100</f>
        <v>0</v>
      </c>
      <c r="AI14" s="67">
        <f>HLOOKUP(AF14,CONSCOND!$B$7:$K$92,40,FALSE)+HLOOKUP(AF14,CONSCOND!$B$7:$K$92,44,FALSE)</f>
        <v>0</v>
      </c>
      <c r="AJ14" s="105">
        <f>+AI14/$AI$17*100</f>
        <v>0</v>
      </c>
      <c r="AL14" s="20" t="str">
        <f>$B$14</f>
        <v>CORPORACION FINANCIERA NACIONAL</v>
      </c>
      <c r="AM14" s="67">
        <f>HLOOKUP(AL14,[2]PROMEDIO!$C$2:$L$290,75,FALSE)</f>
        <v>1231795.0434099999</v>
      </c>
      <c r="AN14" s="104">
        <f>+AM14/$AM$17*100</f>
        <v>59.677065227492946</v>
      </c>
      <c r="AO14" s="67">
        <f>HLOOKUP(AL14,CONSCOND!$B$7:$K$92,42,FALSE)</f>
        <v>1181384.28309</v>
      </c>
      <c r="AP14" s="105">
        <f>+AO14/$AO$17*100</f>
        <v>58.097490652115383</v>
      </c>
      <c r="AR14" s="20" t="str">
        <f>$B$14</f>
        <v>CORPORACION FINANCIERA NACIONAL</v>
      </c>
      <c r="AS14" s="67">
        <f>+HLOOKUP(AR14,[2]PROMEDIO!$C$2:$L$291,91,FALSE)</f>
        <v>448094.59188999998</v>
      </c>
      <c r="AT14" s="104">
        <f>+AS14/$AS$17*100</f>
        <v>39.836603523840282</v>
      </c>
      <c r="AU14" s="67">
        <f>HLOOKUP(AR14,CONSCOND!$B$7:$K$92,66,FALSE)+HLOOKUP(AR14,CONSCOND!$B$7:$K$92,68,FALSE)</f>
        <v>448094.59188999998</v>
      </c>
      <c r="AV14" s="105">
        <f>+AU14/$AU$17*100</f>
        <v>39.836603523840282</v>
      </c>
      <c r="AX14" s="20" t="str">
        <f>$B$14</f>
        <v>CORPORACION FINANCIERA NACIONAL</v>
      </c>
      <c r="AY14" s="67">
        <f>HLOOKUP(AX14,[2]PROMEDIO!$B$2:$L$290,107,FALSE)</f>
        <v>68102.309749999986</v>
      </c>
      <c r="AZ14" s="104">
        <f>+AY14/$AY$17*100</f>
        <v>79.294352880254223</v>
      </c>
      <c r="BA14" s="67">
        <f>+HLOOKUP(RK!AX14,PYG!$B$7:$K$104,98,FALSE)</f>
        <v>67075.481350000002</v>
      </c>
      <c r="BB14" s="105">
        <f>+BA14/$BA$17*100</f>
        <v>77.17177673983484</v>
      </c>
    </row>
    <row r="15" spans="2:54" x14ac:dyDescent="0.2">
      <c r="B15" s="20" t="str">
        <f>+BALANCE!G7</f>
        <v>BANCO NACIONAL DE FOMENTO</v>
      </c>
      <c r="C15" s="67">
        <f>HLOOKUP(B15,[2]PROMEDIO!$C$2:$L$290,11,FALSE)</f>
        <v>1440379.2169900001</v>
      </c>
      <c r="D15" s="104">
        <f>+C15/$C$17*100</f>
        <v>27.112345458010189</v>
      </c>
      <c r="E15" s="67">
        <f>HLOOKUP(B15,BALANCE!$B$7:$K$1098,611,FALSE)</f>
        <v>1514532.4000800001</v>
      </c>
      <c r="F15" s="105">
        <f>+E15/$E$17*100</f>
        <v>28.153270223703281</v>
      </c>
      <c r="H15" s="20" t="str">
        <f>$B$15</f>
        <v>BANCO NACIONAL DE FOMENTO</v>
      </c>
      <c r="I15" s="67">
        <f>HLOOKUP(H15,[2]PROMEDIO!$C$2:$L$290,27,FALSE)</f>
        <v>1037000.61355</v>
      </c>
      <c r="J15" s="104">
        <f>+I15/$I$17*100</f>
        <v>29.609835579951003</v>
      </c>
      <c r="K15" s="67">
        <f>HLOOKUP(H15,BALANCE!$B$7:$K$1098,799,FALSE)</f>
        <v>1111302.22538</v>
      </c>
      <c r="L15" s="105">
        <f>+K15/$K$17*100</f>
        <v>31.174242536689366</v>
      </c>
      <c r="N15" s="20" t="str">
        <f>$B$15</f>
        <v>BANCO NACIONAL DE FOMENTO</v>
      </c>
      <c r="O15" s="67">
        <f>HLOOKUP(N15,[2]PROMEDIO!$C$2:$L$290,139,FALSE)</f>
        <v>414164.48434000002</v>
      </c>
      <c r="P15" s="104">
        <f>+O15/$O$17*100</f>
        <v>24.016077302958404</v>
      </c>
      <c r="Q15" s="67">
        <f>HLOOKUP(N15,BALANCE!$B$7:$K$1098,833,FALSE)</f>
        <v>414246.40025000001</v>
      </c>
      <c r="R15" s="68">
        <f>+Q15/$Q$17*100</f>
        <v>23.974388870803747</v>
      </c>
      <c r="T15" s="20" t="str">
        <f>$B$15</f>
        <v>BANCO NACIONAL DE FOMENTO</v>
      </c>
      <c r="U15" s="67">
        <f>HLOOKUP(T15,[2]PROMEDIO!$C$2:$L$290,123,FALSE)</f>
        <v>274836.40065999998</v>
      </c>
      <c r="V15" s="104">
        <f>+U15/$U$17*100</f>
        <v>28.759617488524786</v>
      </c>
      <c r="W15" s="67">
        <f>HLOOKUP(T15,CONSCOND!$B$7:$K$88,5,FALSE)-HLOOKUP(T15,CONSCOND!$B$7:$K$88,9,FALSE)</f>
        <v>290519.6249</v>
      </c>
      <c r="X15" s="68">
        <f>+W15/$Q$17*100</f>
        <v>16.813738049984753</v>
      </c>
      <c r="Z15" s="20" t="str">
        <f>$B$15</f>
        <v>BANCO NACIONAL DE FOMENTO</v>
      </c>
      <c r="AA15" s="67">
        <f>HLOOKUP(Z15,[2]PROMEDIO!$C$2:$L$290,43,FALSE)</f>
        <v>912429.88396999997</v>
      </c>
      <c r="AB15" s="67">
        <f>+AA15/$AA$17*100</f>
        <v>28.502494699610299</v>
      </c>
      <c r="AC15" s="67">
        <f>HLOOKUP(Z15,'COMPOS CART'!$B$6:$K$95,3,FALSE)</f>
        <v>924528.22846999986</v>
      </c>
      <c r="AD15" s="105">
        <f>+AC15/$AC$17*100</f>
        <v>28.389824388162623</v>
      </c>
      <c r="AF15" s="20" t="str">
        <f>$B$15</f>
        <v>BANCO NACIONAL DE FOMENTO</v>
      </c>
      <c r="AG15" s="67">
        <f>HLOOKUP(AF15,[2]PROMEDIO!$C$2:$L$290,59,FALSE)</f>
        <v>655542.86435000005</v>
      </c>
      <c r="AH15" s="104">
        <f>+AG15/$AG$17*100</f>
        <v>96.71196578443454</v>
      </c>
      <c r="AI15" s="67">
        <f>HLOOKUP(AF15,CONSCOND!$B$7:$K$92,40,FALSE)+HLOOKUP(AF15,CONSCOND!$B$7:$K$92,44,FALSE)</f>
        <v>692955.14200999995</v>
      </c>
      <c r="AJ15" s="105">
        <f>+AI15/$AI$17*100</f>
        <v>97.088215958633768</v>
      </c>
      <c r="AL15" s="20" t="str">
        <f>$B$15</f>
        <v>BANCO NACIONAL DE FOMENTO</v>
      </c>
      <c r="AM15" s="67">
        <f>HLOOKUP(AL15,[2]PROMEDIO!$C$2:$L$290,75,FALSE)</f>
        <v>279116.77289999998</v>
      </c>
      <c r="AN15" s="104">
        <f>+AM15/$AM$17*100</f>
        <v>13.522436180883734</v>
      </c>
      <c r="AO15" s="67">
        <f>HLOOKUP(AL15,CONSCOND!$B$7:$K$92,42,FALSE)</f>
        <v>312474.36018999998</v>
      </c>
      <c r="AP15" s="105">
        <f>+AO15/$AO$17*100</f>
        <v>15.366698609432284</v>
      </c>
      <c r="AR15" s="20" t="str">
        <f>$B$15</f>
        <v>BANCO NACIONAL DE FOMENTO</v>
      </c>
      <c r="AS15" s="67">
        <f>+HLOOKUP(AR15,[2]PROMEDIO!$C$2:$L$291,91,FALSE)</f>
        <v>254296.91870000001</v>
      </c>
      <c r="AT15" s="104">
        <f>+AS15/$AS$17*100</f>
        <v>22.607560347599502</v>
      </c>
      <c r="AU15" s="67">
        <f>HLOOKUP(AR15,CONSCOND!$B$7:$K$92,66,FALSE)+HLOOKUP(AR15,CONSCOND!$B$7:$K$92,68,FALSE)</f>
        <v>254296.91870000001</v>
      </c>
      <c r="AV15" s="105">
        <f>+AU15/$AU$17*100</f>
        <v>22.607560347599502</v>
      </c>
      <c r="AX15" s="20" t="str">
        <f>$B$15</f>
        <v>BANCO NACIONAL DE FOMENTO</v>
      </c>
      <c r="AY15" s="67">
        <f>HLOOKUP(AX15,[2]PROMEDIO!$B$2:$L$290,107,FALSE)</f>
        <v>-10785.880900000004</v>
      </c>
      <c r="AZ15" s="104">
        <f>+AY15/$AY$17*100</f>
        <v>-12.558449916729799</v>
      </c>
      <c r="BA15" s="67">
        <f>+HLOOKUP(RK!AX15,PYG!$B$7:$K$104,98,FALSE)</f>
        <v>-11016.225549999999</v>
      </c>
      <c r="BB15" s="105">
        <f>+BA15/$BA$17*100</f>
        <v>-12.674403247652045</v>
      </c>
    </row>
    <row r="16" spans="2:54" x14ac:dyDescent="0.2">
      <c r="B16" s="25"/>
      <c r="C16" s="26"/>
      <c r="D16" s="26"/>
      <c r="E16" s="26"/>
      <c r="F16" s="70"/>
      <c r="H16" s="25"/>
      <c r="I16" s="26"/>
      <c r="J16" s="26"/>
      <c r="K16" s="26"/>
      <c r="L16" s="70"/>
      <c r="N16" s="25"/>
      <c r="O16" s="26"/>
      <c r="P16" s="26"/>
      <c r="Q16" s="26"/>
      <c r="R16" s="70"/>
      <c r="T16" s="25"/>
      <c r="U16" s="26"/>
      <c r="V16" s="26"/>
      <c r="W16" s="26"/>
      <c r="X16" s="70"/>
      <c r="Z16" s="25"/>
      <c r="AA16" s="26"/>
      <c r="AB16" s="26"/>
      <c r="AC16" s="26"/>
      <c r="AD16" s="70"/>
      <c r="AF16" s="25"/>
      <c r="AG16" s="26"/>
      <c r="AH16" s="26"/>
      <c r="AI16" s="26"/>
      <c r="AJ16" s="70"/>
      <c r="AL16" s="25"/>
      <c r="AM16" s="26"/>
      <c r="AN16" s="26"/>
      <c r="AO16" s="26"/>
      <c r="AP16" s="70"/>
      <c r="AR16" s="25"/>
      <c r="AS16" s="26"/>
      <c r="AT16" s="26"/>
      <c r="AU16" s="26"/>
      <c r="AV16" s="70"/>
      <c r="AX16" s="25"/>
      <c r="AY16" s="26"/>
      <c r="AZ16" s="26"/>
      <c r="BA16" s="26"/>
      <c r="BB16" s="70"/>
    </row>
    <row r="17" spans="2:54" ht="15" x14ac:dyDescent="0.25">
      <c r="B17" s="106" t="str">
        <f>BALANCE!J$7</f>
        <v>TOTAL BANCA PÚBLICA</v>
      </c>
      <c r="C17" s="107">
        <f>HLOOKUP(B17,[2]PROMEDIO!$C$2:$L$290,11,FALSE)</f>
        <v>5312632.2811900005</v>
      </c>
      <c r="D17" s="107">
        <f>+C17/C17*100</f>
        <v>100</v>
      </c>
      <c r="E17" s="107">
        <f>HLOOKUP(B17,BALANCE!$B$7:$K$1098,611,FALSE)</f>
        <v>5379596.7148599997</v>
      </c>
      <c r="F17" s="108">
        <f>+E17/E17*100</f>
        <v>100</v>
      </c>
      <c r="H17" s="106" t="str">
        <f>$B$17</f>
        <v>TOTAL BANCA PÚBLICA</v>
      </c>
      <c r="I17" s="107">
        <f>HLOOKUP(H17,[2]PROMEDIO!$C$2:$L$290,27,FALSE)</f>
        <v>3502216.7237300002</v>
      </c>
      <c r="J17" s="109">
        <f>+I17/I17*100</f>
        <v>100</v>
      </c>
      <c r="K17" s="107">
        <f>HLOOKUP(H17,BALANCE!$B$7:$K$1098,799,FALSE)</f>
        <v>3564809.0697699999</v>
      </c>
      <c r="L17" s="108">
        <f>+K17/K17*100</f>
        <v>100</v>
      </c>
      <c r="N17" s="106" t="str">
        <f>$B$17</f>
        <v>TOTAL BANCA PÚBLICA</v>
      </c>
      <c r="O17" s="107">
        <f>HLOOKUP(N17,[2]PROMEDIO!$C$2:$L$290,139,FALSE)</f>
        <v>1724530.1100399999</v>
      </c>
      <c r="P17" s="109">
        <f>+O17/O17*100</f>
        <v>100</v>
      </c>
      <c r="Q17" s="107">
        <f>HLOOKUP(N17,BALANCE!$B$7:$K$1098,833,FALSE)</f>
        <v>1727870.53085</v>
      </c>
      <c r="R17" s="108">
        <f>+Q17/Q17*100</f>
        <v>100</v>
      </c>
      <c r="T17" s="106" t="str">
        <f>$B$17</f>
        <v>TOTAL BANCA PÚBLICA</v>
      </c>
      <c r="U17" s="107">
        <f>HLOOKUP(T17,[2]PROMEDIO!$C$2:$L$290,123,FALSE)</f>
        <v>955633.01830999984</v>
      </c>
      <c r="V17" s="109">
        <f>+U17/U17*100</f>
        <v>100</v>
      </c>
      <c r="W17" s="107">
        <f>HLOOKUP(T17,CONSCOND!$B$7:$K$88,5,FALSE)-HLOOKUP(T17,CONSCOND!$B$7:$K$88,9,FALSE)</f>
        <v>932624.4069200001</v>
      </c>
      <c r="X17" s="108">
        <f>+W17/W17*100</f>
        <v>100</v>
      </c>
      <c r="Z17" s="106" t="str">
        <f>$B$17</f>
        <v>TOTAL BANCA PÚBLICA</v>
      </c>
      <c r="AA17" s="107">
        <f>HLOOKUP(Z17,[2]PROMEDIO!$C$2:$L$290,43,FALSE)</f>
        <v>3201228.1506800004</v>
      </c>
      <c r="AB17" s="107">
        <f>+AA17/AA17*100</f>
        <v>100</v>
      </c>
      <c r="AC17" s="107">
        <f>HLOOKUP(Z17,'COMPOS CART'!$B$6:$K$95,3,FALSE)</f>
        <v>3256547.8948700004</v>
      </c>
      <c r="AD17" s="110">
        <f>+AC17/AC17*100</f>
        <v>100</v>
      </c>
      <c r="AF17" s="106" t="str">
        <f>$B$17</f>
        <v>TOTAL BANCA PÚBLICA</v>
      </c>
      <c r="AG17" s="107">
        <f>HLOOKUP(AF17,[2]PROMEDIO!$C$2:$L$290,59,FALSE)</f>
        <v>677830.15166000009</v>
      </c>
      <c r="AH17" s="109">
        <f>+AG17/AG17*100</f>
        <v>100</v>
      </c>
      <c r="AI17" s="107">
        <f>HLOOKUP(AF17,CONSCOND!$B$7:$K$92,40,FALSE)+HLOOKUP(AF17,CONSCOND!$B$7:$K$92,44,FALSE)</f>
        <v>713737.64072999998</v>
      </c>
      <c r="AJ17" s="110">
        <f>+AI17/AI17*100</f>
        <v>100</v>
      </c>
      <c r="AL17" s="106" t="str">
        <f>$B$17</f>
        <v>TOTAL BANCA PÚBLICA</v>
      </c>
      <c r="AM17" s="107">
        <f>HLOOKUP(AL17,[2]PROMEDIO!$C$2:$L$290,75,FALSE)</f>
        <v>2064101.2400899997</v>
      </c>
      <c r="AN17" s="107">
        <f>+AM17/AM17*100</f>
        <v>100</v>
      </c>
      <c r="AO17" s="107">
        <f>HLOOKUP(AL17,CONSCOND!$B$7:$K$92,42,FALSE)</f>
        <v>2033451.4792800001</v>
      </c>
      <c r="AP17" s="110">
        <f>+AO17/AO17*100</f>
        <v>100</v>
      </c>
      <c r="AR17" s="106" t="str">
        <f>$B$17</f>
        <v>TOTAL BANCA PÚBLICA</v>
      </c>
      <c r="AS17" s="107">
        <f>+HLOOKUP(AR17,[2]PROMEDIO!$C$2:$L$291,91,FALSE)</f>
        <v>1124831.3165599999</v>
      </c>
      <c r="AT17" s="107">
        <f>+AS17/AS17*100</f>
        <v>100</v>
      </c>
      <c r="AU17" s="107">
        <f>HLOOKUP(AR17,CONSCOND!$B$7:$K$92,66,FALSE)+HLOOKUP(AR17,CONSCOND!$B$7:$K$92,68,FALSE)</f>
        <v>1124831.3165599999</v>
      </c>
      <c r="AV17" s="110">
        <f>+AU17/AU17*100</f>
        <v>100</v>
      </c>
      <c r="AX17" s="106" t="str">
        <f>$B$17</f>
        <v>TOTAL BANCA PÚBLICA</v>
      </c>
      <c r="AY17" s="107">
        <f>HLOOKUP(AX17,[2]PROMEDIO!$B$2:$L$290,107,FALSE)</f>
        <v>85885.447419999982</v>
      </c>
      <c r="AZ17" s="107">
        <f>+AY17/AY17*100</f>
        <v>100</v>
      </c>
      <c r="BA17" s="107">
        <f>+HLOOKUP(RK!AX17,PYG!$B$7:$K$104,98,FALSE)</f>
        <v>86917.11424000001</v>
      </c>
      <c r="BB17" s="108">
        <f>+BA17/BA17*100</f>
        <v>100</v>
      </c>
    </row>
    <row r="18" spans="2:54" x14ac:dyDescent="0.2">
      <c r="B18" s="111" t="str">
        <f>BALANCE!K$7</f>
        <v>IECE</v>
      </c>
      <c r="C18" s="112">
        <f>HLOOKUP(B18,[2]PROMEDIO!$C$2:$L$290,11,FALSE)</f>
        <v>393063.13906999998</v>
      </c>
      <c r="D18" s="112"/>
      <c r="E18" s="112">
        <f>HLOOKUP(B18,BALANCE!$B$7:$K$1098,611,FALSE)</f>
        <v>408331.20366</v>
      </c>
      <c r="F18" s="113"/>
      <c r="H18" s="111" t="str">
        <f>$B$18</f>
        <v>IECE</v>
      </c>
      <c r="I18" s="112">
        <f>HLOOKUP(H18,[2]PROMEDIO!$C$2:$L$290,27,FALSE)</f>
        <v>28787.219109999998</v>
      </c>
      <c r="J18" s="114"/>
      <c r="K18" s="112">
        <f>HLOOKUP(H18,BALANCE!$B$7:$K$1098,799,FALSE)</f>
        <v>40222.585950000001</v>
      </c>
      <c r="L18" s="113"/>
      <c r="N18" s="111" t="str">
        <f>$B$18</f>
        <v>IECE</v>
      </c>
      <c r="O18" s="112">
        <f>HLOOKUP(N18,[2]PROMEDIO!$C$2:$L$290,139,FALSE)</f>
        <v>362139.52811999997</v>
      </c>
      <c r="P18" s="114"/>
      <c r="Q18" s="112">
        <f>HLOOKUP(N18,BALANCE!$B$7:$K$1098,833,FALSE)</f>
        <v>363639.52811999997</v>
      </c>
      <c r="R18" s="113"/>
      <c r="T18" s="111" t="str">
        <f>$B$18</f>
        <v>IECE</v>
      </c>
      <c r="U18" s="112">
        <f>HLOOKUP(T18,[2]PROMEDIO!$C$2:$L$290,123,FALSE)</f>
        <v>0</v>
      </c>
      <c r="V18" s="114"/>
      <c r="W18" s="112">
        <f>HLOOKUP(T18,CONSCOND!$B$7:$K$88,5,FALSE)-HLOOKUP(T18,CONSCOND!$B$7:$K$88,9,FALSE)</f>
        <v>0</v>
      </c>
      <c r="X18" s="113"/>
      <c r="Z18" s="111" t="str">
        <f>$B$18</f>
        <v>IECE</v>
      </c>
      <c r="AA18" s="112">
        <f>HLOOKUP(Z18,[2]PROMEDIO!$C$2:$L$290,43,FALSE)</f>
        <v>282938.31257999997</v>
      </c>
      <c r="AB18" s="112"/>
      <c r="AC18" s="112">
        <f>HLOOKUP(Z18,'COMPOS CART'!$B$6:$K$95,3,FALSE)</f>
        <v>287959.18815</v>
      </c>
      <c r="AD18" s="113"/>
      <c r="AF18" s="111" t="str">
        <f>$B$18</f>
        <v>IECE</v>
      </c>
      <c r="AG18" s="112">
        <f>HLOOKUP(AF18,[2]PROMEDIO!$C$2:$L$290,59,FALSE)</f>
        <v>0</v>
      </c>
      <c r="AH18" s="114"/>
      <c r="AI18" s="112">
        <f>HLOOKUP(AF18,CONSCOND!$B$7:$K$92,40,FALSE)+HLOOKUP(AF18,CONSCOND!$B$7:$K$92,44,FALSE)</f>
        <v>0</v>
      </c>
      <c r="AJ18" s="113"/>
      <c r="AL18" s="111" t="str">
        <f>$B$18</f>
        <v>IECE</v>
      </c>
      <c r="AM18" s="112">
        <f>HLOOKUP(AL18,[2]PROMEDIO!$C$2:$L$290,75,FALSE)</f>
        <v>0</v>
      </c>
      <c r="AN18" s="112"/>
      <c r="AO18" s="112">
        <f>HLOOKUP(AL18,CONSCOND!$B$7:$K$92,42,FALSE)</f>
        <v>0</v>
      </c>
      <c r="AP18" s="113"/>
      <c r="AR18" s="111" t="str">
        <f>$B$18</f>
        <v>IECE</v>
      </c>
      <c r="AS18" s="112">
        <f>+HLOOKUP(AR18,[2]PROMEDIO!$C$2:$L$291,91,FALSE)</f>
        <v>362.79309000000001</v>
      </c>
      <c r="AT18" s="112"/>
      <c r="AU18" s="112">
        <f>HLOOKUP(AR18,CONSCOND!$B$7:$K$92,66,FALSE)+HLOOKUP(AR18,CONSCOND!$B$7:$K$92,68,FALSE)</f>
        <v>362.79309000000001</v>
      </c>
      <c r="AV18" s="113"/>
      <c r="AX18" s="111" t="str">
        <f>$B$18</f>
        <v>IECE</v>
      </c>
      <c r="AY18" s="112">
        <f>HLOOKUP(AX18,[2]PROMEDIO!$B$2:$L$290,107,FALSE)</f>
        <v>2136.3918400000002</v>
      </c>
      <c r="AZ18" s="112"/>
      <c r="BA18" s="112">
        <f>+HLOOKUP(RK!AX18,PYG!$B$7:$K$104,98,FALSE)</f>
        <v>4469.0895899999996</v>
      </c>
      <c r="BB18" s="113"/>
    </row>
  </sheetData>
  <mergeCells count="18">
    <mergeCell ref="AR9:AR10"/>
    <mergeCell ref="AX9:AX10"/>
    <mergeCell ref="AL7:AP8"/>
    <mergeCell ref="AR7:AV8"/>
    <mergeCell ref="AX7:BB8"/>
    <mergeCell ref="B9:B10"/>
    <mergeCell ref="H9:H10"/>
    <mergeCell ref="N9:N10"/>
    <mergeCell ref="T9:T10"/>
    <mergeCell ref="Z9:Z10"/>
    <mergeCell ref="AF9:AF10"/>
    <mergeCell ref="AL9:AL10"/>
    <mergeCell ref="B7:F8"/>
    <mergeCell ref="H7:L8"/>
    <mergeCell ref="N7:R8"/>
    <mergeCell ref="T7:X8"/>
    <mergeCell ref="Z7:AD8"/>
    <mergeCell ref="AF7:A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>
      <selection activeCell="A2" sqref="A2"/>
    </sheetView>
  </sheetViews>
  <sheetFormatPr baseColWidth="10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7"/>
  <sheetViews>
    <sheetView showGridLines="0" zoomScale="75" zoomScaleNormal="75" workbookViewId="0">
      <pane xSplit="3" ySplit="6" topLeftCell="D6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16" customFormat="1" ht="15" x14ac:dyDescent="0.25">
      <c r="B1" s="4" t="s">
        <v>761</v>
      </c>
      <c r="C1" s="54"/>
      <c r="D1" s="72"/>
      <c r="E1" s="72"/>
      <c r="F1" s="72"/>
      <c r="G1" s="72"/>
      <c r="H1" s="72"/>
      <c r="I1" s="72"/>
      <c r="J1" s="72"/>
      <c r="K1" s="72"/>
      <c r="L1" s="115"/>
    </row>
    <row r="2" spans="2:12" s="116" customFormat="1" ht="15" x14ac:dyDescent="0.25">
      <c r="B2" s="4" t="str">
        <f>BALANCE!B3</f>
        <v>SISTEMA DE BANCA PUBLICA</v>
      </c>
      <c r="C2" s="54"/>
      <c r="D2" s="72"/>
      <c r="E2" s="72"/>
      <c r="F2" s="72"/>
      <c r="G2" s="72"/>
      <c r="H2" s="72"/>
      <c r="I2" s="72"/>
      <c r="J2" s="72"/>
      <c r="K2" s="72"/>
      <c r="L2" s="115"/>
    </row>
    <row r="3" spans="2:12" s="116" customFormat="1" ht="15" x14ac:dyDescent="0.25">
      <c r="B3" s="117">
        <f>BALANCE!B4</f>
        <v>41182</v>
      </c>
      <c r="C3" s="54"/>
      <c r="D3" s="72"/>
      <c r="E3" s="72"/>
      <c r="F3" s="72"/>
      <c r="G3" s="72"/>
      <c r="H3" s="72"/>
      <c r="I3" s="72"/>
      <c r="J3" s="72"/>
      <c r="K3" s="72"/>
      <c r="L3" s="115"/>
    </row>
    <row r="4" spans="2:12" s="116" customFormat="1" ht="15" x14ac:dyDescent="0.25">
      <c r="B4" s="4" t="s">
        <v>2</v>
      </c>
      <c r="C4" s="54"/>
      <c r="D4" s="72"/>
      <c r="E4" s="72"/>
      <c r="F4" s="72"/>
      <c r="G4" s="72"/>
      <c r="H4" s="72"/>
      <c r="I4" s="72"/>
      <c r="J4" s="72"/>
      <c r="K4" s="72"/>
      <c r="L4" s="115"/>
    </row>
    <row r="5" spans="2:12" s="116" customFormat="1" ht="15" x14ac:dyDescent="0.25">
      <c r="B5" s="54"/>
      <c r="C5" s="54"/>
      <c r="D5" s="72"/>
      <c r="E5" s="72"/>
      <c r="F5" s="72"/>
      <c r="G5" s="72"/>
      <c r="H5" s="72"/>
      <c r="I5" s="72"/>
      <c r="J5" s="72"/>
      <c r="K5" s="72"/>
      <c r="L5" s="115"/>
    </row>
    <row r="6" spans="2:12" s="19" customFormat="1" ht="45" x14ac:dyDescent="0.25">
      <c r="B6" s="16" t="s">
        <v>3</v>
      </c>
      <c r="C6" s="17" t="s">
        <v>4</v>
      </c>
      <c r="D6" s="18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18" t="s">
        <v>10</v>
      </c>
      <c r="J6" s="18" t="s">
        <v>11</v>
      </c>
      <c r="K6" s="58" t="s">
        <v>12</v>
      </c>
      <c r="L6" s="118"/>
    </row>
    <row r="7" spans="2:12" x14ac:dyDescent="0.2">
      <c r="B7" s="74"/>
      <c r="C7" s="62"/>
      <c r="D7" s="76"/>
      <c r="E7" s="76"/>
      <c r="F7" s="76"/>
      <c r="G7" s="76"/>
      <c r="H7" s="76"/>
      <c r="I7" s="76"/>
      <c r="J7" s="76"/>
      <c r="K7" s="77"/>
    </row>
    <row r="8" spans="2:12" ht="15" x14ac:dyDescent="0.25">
      <c r="B8" s="20"/>
      <c r="C8" s="24" t="s">
        <v>754</v>
      </c>
      <c r="D8" s="81">
        <f>D28+D48+D68</f>
        <v>188397.69068999999</v>
      </c>
      <c r="E8" s="81">
        <f t="shared" ref="E8:K8" si="0">E28+E48+E68</f>
        <v>188397.69068999999</v>
      </c>
      <c r="F8" s="81">
        <f t="shared" si="0"/>
        <v>947796.17175999994</v>
      </c>
      <c r="G8" s="81">
        <f t="shared" si="0"/>
        <v>924528.22846999986</v>
      </c>
      <c r="H8" s="81">
        <f t="shared" si="0"/>
        <v>1195825.8039500001</v>
      </c>
      <c r="I8" s="81">
        <f t="shared" si="0"/>
        <v>3068150.2041800003</v>
      </c>
      <c r="J8" s="81">
        <f t="shared" si="0"/>
        <v>3256547.8948700004</v>
      </c>
      <c r="K8" s="82">
        <f t="shared" si="0"/>
        <v>287959.18815</v>
      </c>
    </row>
    <row r="9" spans="2:12" x14ac:dyDescent="0.2">
      <c r="B9" s="20"/>
      <c r="C9" s="21"/>
      <c r="D9" s="22"/>
      <c r="E9" s="22"/>
      <c r="F9" s="22"/>
      <c r="G9" s="22"/>
      <c r="H9" s="22"/>
      <c r="I9" s="22"/>
      <c r="J9" s="22"/>
      <c r="K9" s="79"/>
    </row>
    <row r="10" spans="2:12" x14ac:dyDescent="0.2">
      <c r="B10" s="20">
        <f>+BALANCE!B87</f>
        <v>1401</v>
      </c>
      <c r="C10" s="21" t="str">
        <f>+BALANCE!C87</f>
        <v>Cartera de créditos comercial por vencer</v>
      </c>
      <c r="D10" s="22">
        <f>+BALANCE!D87</f>
        <v>148524.22487000001</v>
      </c>
      <c r="E10" s="22">
        <f>+BALANCE!E87</f>
        <v>148524.22487000001</v>
      </c>
      <c r="F10" s="22">
        <f>+BALANCE!F87</f>
        <v>0</v>
      </c>
      <c r="G10" s="22">
        <f>+BALANCE!G87</f>
        <v>483772.24086999998</v>
      </c>
      <c r="H10" s="22">
        <f>+BALANCE!H87</f>
        <v>1085659.95013</v>
      </c>
      <c r="I10" s="22">
        <f>+BALANCE!I87</f>
        <v>1569432.1910000001</v>
      </c>
      <c r="J10" s="22">
        <f>+BALANCE!J87</f>
        <v>1717956.4158700001</v>
      </c>
      <c r="K10" s="79">
        <f>+BALANCE!K87</f>
        <v>0</v>
      </c>
    </row>
    <row r="11" spans="2:12" x14ac:dyDescent="0.2">
      <c r="B11" s="20">
        <f>+BALANCE!B93</f>
        <v>1402</v>
      </c>
      <c r="C11" s="21" t="str">
        <f>+BALANCE!C93</f>
        <v>Cartera de créditos de consumo por vencer</v>
      </c>
      <c r="D11" s="22">
        <f>+BALANCE!D93</f>
        <v>0</v>
      </c>
      <c r="E11" s="22">
        <f>+BALANCE!E93</f>
        <v>0</v>
      </c>
      <c r="F11" s="22">
        <f>+BALANCE!F93</f>
        <v>0</v>
      </c>
      <c r="G11" s="22">
        <f>+BALANCE!G93</f>
        <v>26875.976200000001</v>
      </c>
      <c r="H11" s="22">
        <f>+BALANCE!H93</f>
        <v>0</v>
      </c>
      <c r="I11" s="22">
        <f>+BALANCE!I93</f>
        <v>26875.976200000001</v>
      </c>
      <c r="J11" s="22">
        <f>+BALANCE!J93</f>
        <v>26875.976200000001</v>
      </c>
      <c r="K11" s="79">
        <f>+BALANCE!K93</f>
        <v>0</v>
      </c>
    </row>
    <row r="12" spans="2:12" x14ac:dyDescent="0.2">
      <c r="B12" s="20">
        <f>+BALANCE!B99</f>
        <v>1403</v>
      </c>
      <c r="C12" s="21" t="str">
        <f>+BALANCE!C99</f>
        <v>Cartera de créditos de vivienda por vencer</v>
      </c>
      <c r="D12" s="22">
        <f>+BALANCE!D99</f>
        <v>11717.34239</v>
      </c>
      <c r="E12" s="22">
        <f>+BALANCE!E99</f>
        <v>11717.34239</v>
      </c>
      <c r="F12" s="22">
        <f>+BALANCE!F99</f>
        <v>0</v>
      </c>
      <c r="G12" s="22">
        <f>+BALANCE!G99</f>
        <v>0</v>
      </c>
      <c r="H12" s="22">
        <f>+BALANCE!H99</f>
        <v>0</v>
      </c>
      <c r="I12" s="22">
        <f>+BALANCE!I99</f>
        <v>0</v>
      </c>
      <c r="J12" s="22">
        <f>+BALANCE!J99</f>
        <v>11717.34239</v>
      </c>
      <c r="K12" s="79">
        <f>+BALANCE!K99</f>
        <v>0</v>
      </c>
    </row>
    <row r="13" spans="2:12" x14ac:dyDescent="0.2">
      <c r="B13" s="20">
        <f>+BALANCE!B105</f>
        <v>1404</v>
      </c>
      <c r="C13" s="21" t="str">
        <f>+BALANCE!C105</f>
        <v>Cartera de créditos para la microempresa por vencer</v>
      </c>
      <c r="D13" s="22">
        <f>+BALANCE!D105</f>
        <v>0</v>
      </c>
      <c r="E13" s="22">
        <f>+BALANCE!E105</f>
        <v>0</v>
      </c>
      <c r="F13" s="22">
        <f>+BALANCE!F105</f>
        <v>0</v>
      </c>
      <c r="G13" s="22">
        <f>+BALANCE!G105</f>
        <v>250092.33090999999</v>
      </c>
      <c r="H13" s="22">
        <f>+BALANCE!H105</f>
        <v>26730.865440000001</v>
      </c>
      <c r="I13" s="22">
        <f>+BALANCE!I105</f>
        <v>276823.19634999998</v>
      </c>
      <c r="J13" s="22">
        <f>+BALANCE!J105</f>
        <v>276823.19634999998</v>
      </c>
      <c r="K13" s="79">
        <f>+BALANCE!K105</f>
        <v>0</v>
      </c>
    </row>
    <row r="14" spans="2:12" x14ac:dyDescent="0.2">
      <c r="B14" s="20">
        <f>+BALANCE!B111</f>
        <v>1405</v>
      </c>
      <c r="C14" s="21" t="str">
        <f>+BALANCE!C111</f>
        <v>Cartera de crédito educativo por vencer</v>
      </c>
      <c r="D14" s="22">
        <f>+BALANCE!D111</f>
        <v>0</v>
      </c>
      <c r="E14" s="22">
        <f>+BALANCE!E111</f>
        <v>0</v>
      </c>
      <c r="F14" s="22">
        <f>+BALANCE!F111</f>
        <v>0</v>
      </c>
      <c r="G14" s="22">
        <f>+BALANCE!G111</f>
        <v>0</v>
      </c>
      <c r="H14" s="22">
        <f>+BALANCE!H111</f>
        <v>0</v>
      </c>
      <c r="I14" s="22">
        <f>+BALANCE!I111</f>
        <v>0</v>
      </c>
      <c r="J14" s="22">
        <f>+BALANCE!J111</f>
        <v>0</v>
      </c>
      <c r="K14" s="79">
        <f>+BALANCE!K111</f>
        <v>257687.12669</v>
      </c>
    </row>
    <row r="15" spans="2:12" x14ac:dyDescent="0.2">
      <c r="B15" s="20">
        <f>+BALANCE!B117</f>
        <v>1406</v>
      </c>
      <c r="C15" s="21" t="str">
        <f>+BALANCE!C117</f>
        <v>Cartera de créditos de inversión pública por vencer</v>
      </c>
      <c r="D15" s="22">
        <f>+BALANCE!D117</f>
        <v>0</v>
      </c>
      <c r="E15" s="22">
        <f>+BALANCE!E117</f>
        <v>0</v>
      </c>
      <c r="F15" s="22">
        <f>+BALANCE!F117</f>
        <v>947585.53266999999</v>
      </c>
      <c r="G15" s="22">
        <f>+BALANCE!G117</f>
        <v>0</v>
      </c>
      <c r="H15" s="22">
        <f>+BALANCE!H117</f>
        <v>0</v>
      </c>
      <c r="I15" s="22">
        <f>+BALANCE!I117</f>
        <v>947585.53266999999</v>
      </c>
      <c r="J15" s="22">
        <f>+BALANCE!J117</f>
        <v>947585.53266999999</v>
      </c>
      <c r="K15" s="79">
        <f>+BALANCE!K117</f>
        <v>0</v>
      </c>
    </row>
    <row r="16" spans="2:12" x14ac:dyDescent="0.2">
      <c r="B16" s="20">
        <f>+BALANCE!B123</f>
        <v>1409</v>
      </c>
      <c r="C16" s="21" t="str">
        <f>+BALANCE!C123</f>
        <v>Cartera de créditos comercial refinanciada por vencer</v>
      </c>
      <c r="D16" s="22">
        <f>+BALANCE!D123</f>
        <v>755.70586000000003</v>
      </c>
      <c r="E16" s="22">
        <f>+BALANCE!E123</f>
        <v>755.70586000000003</v>
      </c>
      <c r="F16" s="22">
        <f>+BALANCE!F123</f>
        <v>0</v>
      </c>
      <c r="G16" s="22">
        <f>+BALANCE!G123</f>
        <v>0</v>
      </c>
      <c r="H16" s="22">
        <f>+BALANCE!H123</f>
        <v>0</v>
      </c>
      <c r="I16" s="22">
        <f>+BALANCE!I123</f>
        <v>0</v>
      </c>
      <c r="J16" s="22">
        <f>+BALANCE!J123</f>
        <v>755.70586000000003</v>
      </c>
      <c r="K16" s="79">
        <f>+BALANCE!K123</f>
        <v>0</v>
      </c>
    </row>
    <row r="17" spans="2:11" x14ac:dyDescent="0.2">
      <c r="B17" s="20">
        <f>+BALANCE!B129</f>
        <v>1410</v>
      </c>
      <c r="C17" s="21" t="str">
        <f>+BALANCE!C129</f>
        <v>Cartera de créditos de consumo refinanciada por vencer</v>
      </c>
      <c r="D17" s="22">
        <f>+BALANCE!D129</f>
        <v>0</v>
      </c>
      <c r="E17" s="22">
        <f>+BALANCE!E129</f>
        <v>0</v>
      </c>
      <c r="F17" s="22">
        <f>+BALANCE!F129</f>
        <v>0</v>
      </c>
      <c r="G17" s="22">
        <f>+BALANCE!G129</f>
        <v>0</v>
      </c>
      <c r="H17" s="22">
        <f>+BALANCE!H129</f>
        <v>0</v>
      </c>
      <c r="I17" s="22">
        <f>+BALANCE!I129</f>
        <v>0</v>
      </c>
      <c r="J17" s="22">
        <f>+BALANCE!J129</f>
        <v>0</v>
      </c>
      <c r="K17" s="79">
        <f>+BALANCE!K129</f>
        <v>0</v>
      </c>
    </row>
    <row r="18" spans="2:11" x14ac:dyDescent="0.2">
      <c r="B18" s="20">
        <f>+BALANCE!B135</f>
        <v>1411</v>
      </c>
      <c r="C18" s="21" t="str">
        <f>+BALANCE!C135</f>
        <v>Cartera de créditos de vivienda refinanciada por vencer</v>
      </c>
      <c r="D18" s="22">
        <f>+BALANCE!D135</f>
        <v>0</v>
      </c>
      <c r="E18" s="22">
        <f>+BALANCE!E135</f>
        <v>0</v>
      </c>
      <c r="F18" s="22">
        <f>+BALANCE!F135</f>
        <v>0</v>
      </c>
      <c r="G18" s="22">
        <f>+BALANCE!G135</f>
        <v>0</v>
      </c>
      <c r="H18" s="22">
        <f>+BALANCE!H135</f>
        <v>0</v>
      </c>
      <c r="I18" s="22">
        <f>+BALANCE!I135</f>
        <v>0</v>
      </c>
      <c r="J18" s="22">
        <f>+BALANCE!J135</f>
        <v>0</v>
      </c>
      <c r="K18" s="79">
        <f>+BALANCE!K135</f>
        <v>0</v>
      </c>
    </row>
    <row r="19" spans="2:11" x14ac:dyDescent="0.2">
      <c r="B19" s="20">
        <f>+BALANCE!B141</f>
        <v>1412</v>
      </c>
      <c r="C19" s="21" t="str">
        <f>+BALANCE!C141</f>
        <v>Cartera de créditos para la microempresa refinanciada por vencer</v>
      </c>
      <c r="D19" s="22">
        <f>+BALANCE!D141</f>
        <v>0</v>
      </c>
      <c r="E19" s="22">
        <f>+BALANCE!E141</f>
        <v>0</v>
      </c>
      <c r="F19" s="22">
        <f>+BALANCE!F141</f>
        <v>0</v>
      </c>
      <c r="G19" s="22">
        <f>+BALANCE!G141</f>
        <v>0</v>
      </c>
      <c r="H19" s="22">
        <f>+BALANCE!H141</f>
        <v>0</v>
      </c>
      <c r="I19" s="22">
        <f>+BALANCE!I141</f>
        <v>0</v>
      </c>
      <c r="J19" s="22">
        <f>+BALANCE!J141</f>
        <v>0</v>
      </c>
      <c r="K19" s="79">
        <f>+BALANCE!K141</f>
        <v>0</v>
      </c>
    </row>
    <row r="20" spans="2:11" x14ac:dyDescent="0.2">
      <c r="B20" s="20">
        <f>+BALANCE!B147</f>
        <v>1413</v>
      </c>
      <c r="C20" s="21" t="str">
        <f>+BALANCE!C147</f>
        <v>Cartera de crédito educativo refinanciada por vencer</v>
      </c>
      <c r="D20" s="22">
        <f>+BALANCE!D147</f>
        <v>0</v>
      </c>
      <c r="E20" s="22">
        <f>+BALANCE!E147</f>
        <v>0</v>
      </c>
      <c r="F20" s="22">
        <f>+BALANCE!F147</f>
        <v>0</v>
      </c>
      <c r="G20" s="22">
        <f>+BALANCE!G147</f>
        <v>0</v>
      </c>
      <c r="H20" s="22">
        <f>+BALANCE!H147</f>
        <v>0</v>
      </c>
      <c r="I20" s="22">
        <f>+BALANCE!I147</f>
        <v>0</v>
      </c>
      <c r="J20" s="22">
        <f>+BALANCE!J147</f>
        <v>0</v>
      </c>
      <c r="K20" s="79">
        <f>+BALANCE!K147</f>
        <v>0</v>
      </c>
    </row>
    <row r="21" spans="2:11" x14ac:dyDescent="0.2">
      <c r="B21" s="20">
        <f>+BALANCE!B153</f>
        <v>1414</v>
      </c>
      <c r="C21" s="21" t="str">
        <f>+BALANCE!C153</f>
        <v>Cartera de créditos de inversión pública refinanciada por vencer</v>
      </c>
      <c r="D21" s="22">
        <f>+BALANCE!D153</f>
        <v>0</v>
      </c>
      <c r="E21" s="22">
        <f>+BALANCE!E153</f>
        <v>0</v>
      </c>
      <c r="F21" s="22">
        <f>+BALANCE!F153</f>
        <v>0</v>
      </c>
      <c r="G21" s="22">
        <f>+BALANCE!G153</f>
        <v>0</v>
      </c>
      <c r="H21" s="22">
        <f>+BALANCE!H153</f>
        <v>0</v>
      </c>
      <c r="I21" s="22">
        <f>+BALANCE!I153</f>
        <v>0</v>
      </c>
      <c r="J21" s="22">
        <f>+BALANCE!J153</f>
        <v>0</v>
      </c>
      <c r="K21" s="79">
        <f>+BALANCE!K153</f>
        <v>0</v>
      </c>
    </row>
    <row r="22" spans="2:11" x14ac:dyDescent="0.2">
      <c r="B22" s="20">
        <f>+BALANCE!B159</f>
        <v>1417</v>
      </c>
      <c r="C22" s="21" t="str">
        <f>+BALANCE!C159</f>
        <v>Cartera de créditos comercial reestructurada por vencer</v>
      </c>
      <c r="D22" s="22">
        <f>+BALANCE!D159</f>
        <v>0</v>
      </c>
      <c r="E22" s="22">
        <f>+BALANCE!E159</f>
        <v>0</v>
      </c>
      <c r="F22" s="22">
        <f>+BALANCE!F159</f>
        <v>0</v>
      </c>
      <c r="G22" s="22">
        <f>+BALANCE!G159</f>
        <v>14570.55891</v>
      </c>
      <c r="H22" s="22">
        <f>+BALANCE!H159</f>
        <v>9270.1862099999998</v>
      </c>
      <c r="I22" s="22">
        <f>+BALANCE!I159</f>
        <v>23840.74512</v>
      </c>
      <c r="J22" s="22">
        <f>+BALANCE!J159</f>
        <v>23840.74512</v>
      </c>
      <c r="K22" s="79">
        <f>+BALANCE!K159</f>
        <v>0</v>
      </c>
    </row>
    <row r="23" spans="2:11" x14ac:dyDescent="0.2">
      <c r="B23" s="20">
        <f>+BALANCE!B165</f>
        <v>1418</v>
      </c>
      <c r="C23" s="21" t="str">
        <f>+BALANCE!C165</f>
        <v>Cartera de créditos de consumo reestructurada por vencer</v>
      </c>
      <c r="D23" s="22">
        <f>+BALANCE!D165</f>
        <v>0</v>
      </c>
      <c r="E23" s="22">
        <f>+BALANCE!E165</f>
        <v>0</v>
      </c>
      <c r="F23" s="22">
        <f>+BALANCE!F165</f>
        <v>0</v>
      </c>
      <c r="G23" s="22">
        <f>+BALANCE!G165</f>
        <v>43.371299999999998</v>
      </c>
      <c r="H23" s="22">
        <f>+BALANCE!H165</f>
        <v>0</v>
      </c>
      <c r="I23" s="22">
        <f>+BALANCE!I165</f>
        <v>43.371299999999998</v>
      </c>
      <c r="J23" s="22">
        <f>+BALANCE!J165</f>
        <v>43.371299999999998</v>
      </c>
      <c r="K23" s="79">
        <f>+BALANCE!K165</f>
        <v>0</v>
      </c>
    </row>
    <row r="24" spans="2:11" x14ac:dyDescent="0.2">
      <c r="B24" s="20">
        <f>+BALANCE!B171</f>
        <v>1419</v>
      </c>
      <c r="C24" s="21" t="str">
        <f>+BALANCE!C171</f>
        <v>Cartera de créditos de vivienda reestructurada por vencer</v>
      </c>
      <c r="D24" s="22">
        <f>+BALANCE!D171</f>
        <v>4056.2760699999999</v>
      </c>
      <c r="E24" s="22">
        <f>+BALANCE!E171</f>
        <v>4056.2760699999999</v>
      </c>
      <c r="F24" s="22">
        <f>+BALANCE!F171</f>
        <v>0</v>
      </c>
      <c r="G24" s="22">
        <f>+BALANCE!G171</f>
        <v>0</v>
      </c>
      <c r="H24" s="22">
        <f>+BALANCE!H171</f>
        <v>0</v>
      </c>
      <c r="I24" s="22">
        <f>+BALANCE!I171</f>
        <v>0</v>
      </c>
      <c r="J24" s="22">
        <f>+BALANCE!J171</f>
        <v>4056.2760699999999</v>
      </c>
      <c r="K24" s="79">
        <f>+BALANCE!K171</f>
        <v>0</v>
      </c>
    </row>
    <row r="25" spans="2:11" x14ac:dyDescent="0.2">
      <c r="B25" s="20">
        <f>+BALANCE!B177</f>
        <v>1420</v>
      </c>
      <c r="C25" s="21" t="str">
        <f>+BALANCE!C177</f>
        <v>Cartera de créditos para la microempresa reestructurada por vencer</v>
      </c>
      <c r="D25" s="22">
        <f>+BALANCE!D177</f>
        <v>0</v>
      </c>
      <c r="E25" s="22">
        <f>+BALANCE!E177</f>
        <v>0</v>
      </c>
      <c r="F25" s="22">
        <f>+BALANCE!F177</f>
        <v>0</v>
      </c>
      <c r="G25" s="22">
        <f>+BALANCE!G177</f>
        <v>713.12981000000002</v>
      </c>
      <c r="H25" s="22">
        <f>+BALANCE!H177</f>
        <v>0</v>
      </c>
      <c r="I25" s="22">
        <f>+BALANCE!I177</f>
        <v>713.12981000000002</v>
      </c>
      <c r="J25" s="22">
        <f>+BALANCE!J177</f>
        <v>713.12981000000002</v>
      </c>
      <c r="K25" s="79">
        <f>+BALANCE!K177</f>
        <v>0</v>
      </c>
    </row>
    <row r="26" spans="2:11" x14ac:dyDescent="0.2">
      <c r="B26" s="20">
        <f>+BALANCE!B183</f>
        <v>1421</v>
      </c>
      <c r="C26" s="21" t="str">
        <f>+BALANCE!C183</f>
        <v>Cartera de crédito educativo reestructurada por vencer</v>
      </c>
      <c r="D26" s="22">
        <f>+BALANCE!D183</f>
        <v>0</v>
      </c>
      <c r="E26" s="22">
        <f>+BALANCE!E183</f>
        <v>0</v>
      </c>
      <c r="F26" s="22">
        <f>+BALANCE!F183</f>
        <v>0</v>
      </c>
      <c r="G26" s="22">
        <f>+BALANCE!G183</f>
        <v>0</v>
      </c>
      <c r="H26" s="22">
        <f>+BALANCE!H183</f>
        <v>0</v>
      </c>
      <c r="I26" s="22">
        <f>+BALANCE!I183</f>
        <v>0</v>
      </c>
      <c r="J26" s="22">
        <f>+BALANCE!J183</f>
        <v>0</v>
      </c>
      <c r="K26" s="79">
        <f>+BALANCE!K183</f>
        <v>0</v>
      </c>
    </row>
    <row r="27" spans="2:11" x14ac:dyDescent="0.2">
      <c r="B27" s="20">
        <f>+BALANCE!B189</f>
        <v>1422</v>
      </c>
      <c r="C27" s="21" t="str">
        <f>+BALANCE!C189</f>
        <v>Cartera de créditos de inversión pública reestructurada por vencer</v>
      </c>
      <c r="D27" s="22">
        <f>+BALANCE!D189</f>
        <v>0</v>
      </c>
      <c r="E27" s="22">
        <f>+BALANCE!E189</f>
        <v>0</v>
      </c>
      <c r="F27" s="22">
        <f>+BALANCE!F189</f>
        <v>0</v>
      </c>
      <c r="G27" s="22">
        <f>+BALANCE!G189</f>
        <v>0</v>
      </c>
      <c r="H27" s="22">
        <f>+BALANCE!H189</f>
        <v>0</v>
      </c>
      <c r="I27" s="22">
        <f>+BALANCE!I189</f>
        <v>0</v>
      </c>
      <c r="J27" s="22">
        <f>+BALANCE!J189</f>
        <v>0</v>
      </c>
      <c r="K27" s="79">
        <f>+BALANCE!K189</f>
        <v>0</v>
      </c>
    </row>
    <row r="28" spans="2:11" ht="15" x14ac:dyDescent="0.25">
      <c r="B28" s="20"/>
      <c r="C28" s="24" t="s">
        <v>630</v>
      </c>
      <c r="D28" s="81">
        <f>SUM(D10:D27)</f>
        <v>165053.54918999999</v>
      </c>
      <c r="E28" s="81">
        <f t="shared" ref="E28:K28" si="1">SUM(E10:E27)</f>
        <v>165053.54918999999</v>
      </c>
      <c r="F28" s="81">
        <f t="shared" si="1"/>
        <v>947585.53266999999</v>
      </c>
      <c r="G28" s="81">
        <f t="shared" si="1"/>
        <v>776067.60799999989</v>
      </c>
      <c r="H28" s="81">
        <f t="shared" si="1"/>
        <v>1121661.00178</v>
      </c>
      <c r="I28" s="81">
        <f t="shared" si="1"/>
        <v>2845314.1424500002</v>
      </c>
      <c r="J28" s="81">
        <f t="shared" si="1"/>
        <v>3010367.6916400003</v>
      </c>
      <c r="K28" s="82">
        <f t="shared" si="1"/>
        <v>257687.12669</v>
      </c>
    </row>
    <row r="29" spans="2:11" x14ac:dyDescent="0.2">
      <c r="B29" s="20"/>
      <c r="C29" s="21"/>
      <c r="D29" s="22"/>
      <c r="E29" s="22"/>
      <c r="F29" s="22"/>
      <c r="G29" s="22"/>
      <c r="H29" s="22"/>
      <c r="I29" s="22"/>
      <c r="J29" s="22"/>
      <c r="K29" s="79"/>
    </row>
    <row r="30" spans="2:11" x14ac:dyDescent="0.2">
      <c r="B30" s="20">
        <f>+BALANCE!B195</f>
        <v>1425</v>
      </c>
      <c r="C30" s="21" t="str">
        <f>+BALANCE!C195</f>
        <v>Cartera de créditos comercial que no devenga intereses</v>
      </c>
      <c r="D30" s="22">
        <f>+BALANCE!D195</f>
        <v>13415.23905</v>
      </c>
      <c r="E30" s="22">
        <f>+BALANCE!E195</f>
        <v>13415.23905</v>
      </c>
      <c r="F30" s="22">
        <f>+BALANCE!F195</f>
        <v>0</v>
      </c>
      <c r="G30" s="22">
        <f>+BALANCE!G195</f>
        <v>60217.763160000002</v>
      </c>
      <c r="H30" s="22">
        <f>+BALANCE!H195</f>
        <v>23054.251489999999</v>
      </c>
      <c r="I30" s="22">
        <f>+BALANCE!I195</f>
        <v>83272.014649999997</v>
      </c>
      <c r="J30" s="22">
        <f>+BALANCE!J195</f>
        <v>96687.253700000001</v>
      </c>
      <c r="K30" s="79">
        <f>+BALANCE!K195</f>
        <v>0</v>
      </c>
    </row>
    <row r="31" spans="2:11" x14ac:dyDescent="0.2">
      <c r="B31" s="20">
        <f>+BALANCE!B201</f>
        <v>1426</v>
      </c>
      <c r="C31" s="21" t="str">
        <f>+BALANCE!C201</f>
        <v>Cartera de créditos de consumo que no devenga intereses</v>
      </c>
      <c r="D31" s="22">
        <f>+BALANCE!D201</f>
        <v>0</v>
      </c>
      <c r="E31" s="22">
        <f>+BALANCE!E201</f>
        <v>0</v>
      </c>
      <c r="F31" s="22">
        <f>+BALANCE!F201</f>
        <v>0</v>
      </c>
      <c r="G31" s="22">
        <f>+BALANCE!G201</f>
        <v>4106.4009100000003</v>
      </c>
      <c r="H31" s="22">
        <f>+BALANCE!H201</f>
        <v>0</v>
      </c>
      <c r="I31" s="22">
        <f>+BALANCE!I201</f>
        <v>4106.4009100000003</v>
      </c>
      <c r="J31" s="22">
        <f>+BALANCE!J201</f>
        <v>4106.4009100000003</v>
      </c>
      <c r="K31" s="79">
        <f>+BALANCE!K201</f>
        <v>0</v>
      </c>
    </row>
    <row r="32" spans="2:11" x14ac:dyDescent="0.2">
      <c r="B32" s="20">
        <f>+BALANCE!B207</f>
        <v>1427</v>
      </c>
      <c r="C32" s="21" t="str">
        <f>+BALANCE!C207</f>
        <v>Cartera de créditos de vivienda que no devenga intereses</v>
      </c>
      <c r="D32" s="22">
        <f>+BALANCE!D207</f>
        <v>654.62697000000003</v>
      </c>
      <c r="E32" s="22">
        <f>+BALANCE!E207</f>
        <v>654.62697000000003</v>
      </c>
      <c r="F32" s="22">
        <f>+BALANCE!F207</f>
        <v>0</v>
      </c>
      <c r="G32" s="22">
        <f>+BALANCE!G207</f>
        <v>0</v>
      </c>
      <c r="H32" s="22">
        <f>+BALANCE!H207</f>
        <v>0</v>
      </c>
      <c r="I32" s="22">
        <f>+BALANCE!I207</f>
        <v>0</v>
      </c>
      <c r="J32" s="22">
        <f>+BALANCE!J207</f>
        <v>654.62697000000003</v>
      </c>
      <c r="K32" s="79">
        <f>+BALANCE!K207</f>
        <v>0</v>
      </c>
    </row>
    <row r="33" spans="2:11" x14ac:dyDescent="0.2">
      <c r="B33" s="20">
        <f>+BALANCE!B213</f>
        <v>1428</v>
      </c>
      <c r="C33" s="21" t="str">
        <f>+BALANCE!C213</f>
        <v>Cartera de créditos para la microempresa que no devenga intereses</v>
      </c>
      <c r="D33" s="22">
        <f>+BALANCE!D213</f>
        <v>0</v>
      </c>
      <c r="E33" s="22">
        <f>+BALANCE!E213</f>
        <v>0</v>
      </c>
      <c r="F33" s="22">
        <f>+BALANCE!F213</f>
        <v>0</v>
      </c>
      <c r="G33" s="22">
        <f>+BALANCE!G213</f>
        <v>12904.500770000001</v>
      </c>
      <c r="H33" s="22">
        <f>+BALANCE!H213</f>
        <v>4028.91347</v>
      </c>
      <c r="I33" s="22">
        <f>+BALANCE!I213</f>
        <v>16933.414240000002</v>
      </c>
      <c r="J33" s="22">
        <f>+BALANCE!J213</f>
        <v>16933.414240000002</v>
      </c>
      <c r="K33" s="79">
        <f>+BALANCE!K213</f>
        <v>0</v>
      </c>
    </row>
    <row r="34" spans="2:11" x14ac:dyDescent="0.2">
      <c r="B34" s="20">
        <f>+BALANCE!B219</f>
        <v>1429</v>
      </c>
      <c r="C34" s="21" t="str">
        <f>+BALANCE!C219</f>
        <v>Cartera de crédito educativo que no devenga intereses</v>
      </c>
      <c r="D34" s="22">
        <f>+BALANCE!D219</f>
        <v>0</v>
      </c>
      <c r="E34" s="22">
        <f>+BALANCE!E219</f>
        <v>0</v>
      </c>
      <c r="F34" s="22">
        <f>+BALANCE!F219</f>
        <v>0</v>
      </c>
      <c r="G34" s="22">
        <f>+BALANCE!G219</f>
        <v>0</v>
      </c>
      <c r="H34" s="22">
        <f>+BALANCE!H219</f>
        <v>0</v>
      </c>
      <c r="I34" s="22">
        <f>+BALANCE!I219</f>
        <v>0</v>
      </c>
      <c r="J34" s="22">
        <f>+BALANCE!J219</f>
        <v>0</v>
      </c>
      <c r="K34" s="79">
        <f>+BALANCE!K219</f>
        <v>17855.219860000001</v>
      </c>
    </row>
    <row r="35" spans="2:11" x14ac:dyDescent="0.2">
      <c r="B35" s="20">
        <f>+BALANCE!B225</f>
        <v>1430</v>
      </c>
      <c r="C35" s="21" t="str">
        <f>+BALANCE!C225</f>
        <v>Cartera de créditos de inversión pública que no devenga intereses</v>
      </c>
      <c r="D35" s="22">
        <f>+BALANCE!D225</f>
        <v>0</v>
      </c>
      <c r="E35" s="22">
        <f>+BALANCE!E225</f>
        <v>0</v>
      </c>
      <c r="F35" s="22">
        <f>+BALANCE!F225</f>
        <v>192.62246999999999</v>
      </c>
      <c r="G35" s="22">
        <f>+BALANCE!G225</f>
        <v>0</v>
      </c>
      <c r="H35" s="22">
        <f>+BALANCE!H225</f>
        <v>0</v>
      </c>
      <c r="I35" s="22">
        <f>+BALANCE!I225</f>
        <v>192.62246999999999</v>
      </c>
      <c r="J35" s="22">
        <f>+BALANCE!J225</f>
        <v>192.62246999999999</v>
      </c>
      <c r="K35" s="79">
        <f>+BALANCE!K225</f>
        <v>0</v>
      </c>
    </row>
    <row r="36" spans="2:11" x14ac:dyDescent="0.2">
      <c r="B36" s="20">
        <f>+BALANCE!B231</f>
        <v>1433</v>
      </c>
      <c r="C36" s="21" t="str">
        <f>+BALANCE!C231</f>
        <v>Cartera de créditos comercial refinanciada que no devenga intereses</v>
      </c>
      <c r="D36" s="22">
        <f>+BALANCE!D231</f>
        <v>0</v>
      </c>
      <c r="E36" s="22">
        <f>+BALANCE!E231</f>
        <v>0</v>
      </c>
      <c r="F36" s="22">
        <f>+BALANCE!F231</f>
        <v>0</v>
      </c>
      <c r="G36" s="22">
        <f>+BALANCE!G231</f>
        <v>0</v>
      </c>
      <c r="H36" s="22">
        <f>+BALANCE!H231</f>
        <v>0</v>
      </c>
      <c r="I36" s="22">
        <f>+BALANCE!I231</f>
        <v>0</v>
      </c>
      <c r="J36" s="22">
        <f>+BALANCE!J231</f>
        <v>0</v>
      </c>
      <c r="K36" s="79">
        <f>+BALANCE!K231</f>
        <v>0</v>
      </c>
    </row>
    <row r="37" spans="2:11" x14ac:dyDescent="0.2">
      <c r="B37" s="20">
        <f>+BALANCE!B237</f>
        <v>1434</v>
      </c>
      <c r="C37" s="21" t="str">
        <f>+BALANCE!C237</f>
        <v>Cartera de créditos de consumo refinanciada que no devenga intereses</v>
      </c>
      <c r="D37" s="22">
        <f>+BALANCE!D237</f>
        <v>0</v>
      </c>
      <c r="E37" s="22">
        <f>+BALANCE!E237</f>
        <v>0</v>
      </c>
      <c r="F37" s="22">
        <f>+BALANCE!F237</f>
        <v>0</v>
      </c>
      <c r="G37" s="22">
        <f>+BALANCE!G237</f>
        <v>0</v>
      </c>
      <c r="H37" s="22">
        <f>+BALANCE!H237</f>
        <v>0</v>
      </c>
      <c r="I37" s="22">
        <f>+BALANCE!I237</f>
        <v>0</v>
      </c>
      <c r="J37" s="22">
        <f>+BALANCE!J237</f>
        <v>0</v>
      </c>
      <c r="K37" s="79">
        <f>+BALANCE!K237</f>
        <v>0</v>
      </c>
    </row>
    <row r="38" spans="2:11" x14ac:dyDescent="0.2">
      <c r="B38" s="20">
        <f>+BALANCE!B243</f>
        <v>1435</v>
      </c>
      <c r="C38" s="21" t="str">
        <f>+BALANCE!C243</f>
        <v>Cartera de créditos de vivienda refinanciada que no devenga intereses</v>
      </c>
      <c r="D38" s="22">
        <f>+BALANCE!D243</f>
        <v>0</v>
      </c>
      <c r="E38" s="22">
        <f>+BALANCE!E243</f>
        <v>0</v>
      </c>
      <c r="F38" s="22">
        <f>+BALANCE!F243</f>
        <v>0</v>
      </c>
      <c r="G38" s="22">
        <f>+BALANCE!G243</f>
        <v>0</v>
      </c>
      <c r="H38" s="22">
        <f>+BALANCE!H243</f>
        <v>0</v>
      </c>
      <c r="I38" s="22">
        <f>+BALANCE!I243</f>
        <v>0</v>
      </c>
      <c r="J38" s="22">
        <f>+BALANCE!J243</f>
        <v>0</v>
      </c>
      <c r="K38" s="79">
        <f>+BALANCE!K243</f>
        <v>0</v>
      </c>
    </row>
    <row r="39" spans="2:11" x14ac:dyDescent="0.2">
      <c r="B39" s="20">
        <f>+BALANCE!B249</f>
        <v>1436</v>
      </c>
      <c r="C39" s="21" t="str">
        <f>+BALANCE!C249</f>
        <v>Cartera de créditos para la microempresa refinanciada que no devenga intereses</v>
      </c>
      <c r="D39" s="22">
        <f>+BALANCE!D249</f>
        <v>0</v>
      </c>
      <c r="E39" s="22">
        <f>+BALANCE!E249</f>
        <v>0</v>
      </c>
      <c r="F39" s="22">
        <f>+BALANCE!F249</f>
        <v>0</v>
      </c>
      <c r="G39" s="22">
        <f>+BALANCE!G249</f>
        <v>0</v>
      </c>
      <c r="H39" s="22">
        <f>+BALANCE!H249</f>
        <v>0</v>
      </c>
      <c r="I39" s="22">
        <f>+BALANCE!I249</f>
        <v>0</v>
      </c>
      <c r="J39" s="22">
        <f>+BALANCE!J249</f>
        <v>0</v>
      </c>
      <c r="K39" s="79">
        <f>+BALANCE!K249</f>
        <v>0</v>
      </c>
    </row>
    <row r="40" spans="2:11" x14ac:dyDescent="0.2">
      <c r="B40" s="20">
        <f>+BALANCE!B255</f>
        <v>1437</v>
      </c>
      <c r="C40" s="21" t="str">
        <f>+BALANCE!C255</f>
        <v>Cartera de crédito educativo refinanciada que no devenga intereses</v>
      </c>
      <c r="D40" s="22">
        <f>+BALANCE!D255</f>
        <v>0</v>
      </c>
      <c r="E40" s="22">
        <f>+BALANCE!E255</f>
        <v>0</v>
      </c>
      <c r="F40" s="22">
        <f>+BALANCE!F255</f>
        <v>0</v>
      </c>
      <c r="G40" s="22">
        <f>+BALANCE!G255</f>
        <v>0</v>
      </c>
      <c r="H40" s="22">
        <f>+BALANCE!H255</f>
        <v>0</v>
      </c>
      <c r="I40" s="22">
        <f>+BALANCE!I255</f>
        <v>0</v>
      </c>
      <c r="J40" s="22">
        <f>+BALANCE!J255</f>
        <v>0</v>
      </c>
      <c r="K40" s="79">
        <f>+BALANCE!K255</f>
        <v>0</v>
      </c>
    </row>
    <row r="41" spans="2:11" x14ac:dyDescent="0.2">
      <c r="B41" s="20">
        <f>+BALANCE!B261</f>
        <v>1438</v>
      </c>
      <c r="C41" s="21" t="str">
        <f>+BALANCE!C261</f>
        <v>Cartera de créditos de inversión pública refinanciada que no devenga intereses</v>
      </c>
      <c r="D41" s="22">
        <f>+BALANCE!D261</f>
        <v>0</v>
      </c>
      <c r="E41" s="22">
        <f>+BALANCE!E261</f>
        <v>0</v>
      </c>
      <c r="F41" s="22">
        <f>+BALANCE!F261</f>
        <v>0</v>
      </c>
      <c r="G41" s="22">
        <f>+BALANCE!G261</f>
        <v>0</v>
      </c>
      <c r="H41" s="22">
        <f>+BALANCE!H261</f>
        <v>0</v>
      </c>
      <c r="I41" s="22">
        <f>+BALANCE!I261</f>
        <v>0</v>
      </c>
      <c r="J41" s="22">
        <f>+BALANCE!J261</f>
        <v>0</v>
      </c>
      <c r="K41" s="79">
        <f>+BALANCE!K261</f>
        <v>0</v>
      </c>
    </row>
    <row r="42" spans="2:11" x14ac:dyDescent="0.2">
      <c r="B42" s="20">
        <f>+BALANCE!B267</f>
        <v>1441</v>
      </c>
      <c r="C42" s="21" t="str">
        <f>+BALANCE!C267</f>
        <v>Cartera de créditos comercial reestructurada que no devenga intereses</v>
      </c>
      <c r="D42" s="22">
        <f>+BALANCE!D267</f>
        <v>0</v>
      </c>
      <c r="E42" s="22">
        <f>+BALANCE!E267</f>
        <v>0</v>
      </c>
      <c r="F42" s="22">
        <f>+BALANCE!F267</f>
        <v>0</v>
      </c>
      <c r="G42" s="22">
        <f>+BALANCE!G267</f>
        <v>14241.96278</v>
      </c>
      <c r="H42" s="22">
        <f>+BALANCE!H267</f>
        <v>605.90524000000005</v>
      </c>
      <c r="I42" s="22">
        <f>+BALANCE!I267</f>
        <v>14847.86802</v>
      </c>
      <c r="J42" s="22">
        <f>+BALANCE!J267</f>
        <v>14847.86802</v>
      </c>
      <c r="K42" s="79">
        <f>+BALANCE!K267</f>
        <v>0</v>
      </c>
    </row>
    <row r="43" spans="2:11" x14ac:dyDescent="0.2">
      <c r="B43" s="20">
        <f>+BALANCE!B273</f>
        <v>1442</v>
      </c>
      <c r="C43" s="21" t="str">
        <f>+BALANCE!C273</f>
        <v>Cartera de créditos de consumo reestructurada que no devenga intereses</v>
      </c>
      <c r="D43" s="22">
        <f>+BALANCE!D273</f>
        <v>0</v>
      </c>
      <c r="E43" s="22">
        <f>+BALANCE!E273</f>
        <v>0</v>
      </c>
      <c r="F43" s="22">
        <f>+BALANCE!F273</f>
        <v>0</v>
      </c>
      <c r="G43" s="22">
        <f>+BALANCE!G273</f>
        <v>86.170529999999999</v>
      </c>
      <c r="H43" s="22">
        <f>+BALANCE!H273</f>
        <v>0</v>
      </c>
      <c r="I43" s="22">
        <f>+BALANCE!I273</f>
        <v>86.170529999999999</v>
      </c>
      <c r="J43" s="22">
        <f>+BALANCE!J273</f>
        <v>86.170529999999999</v>
      </c>
      <c r="K43" s="79">
        <f>+BALANCE!K273</f>
        <v>0</v>
      </c>
    </row>
    <row r="44" spans="2:11" x14ac:dyDescent="0.2">
      <c r="B44" s="20">
        <f>+BALANCE!B279</f>
        <v>1443</v>
      </c>
      <c r="C44" s="21" t="str">
        <f>+BALANCE!C279</f>
        <v>Cartera de créditos de vivienda reestructurada que no devenga intereses</v>
      </c>
      <c r="D44" s="22">
        <f>+BALANCE!D279</f>
        <v>208.40136000000001</v>
      </c>
      <c r="E44" s="22">
        <f>+BALANCE!E279</f>
        <v>208.40136000000001</v>
      </c>
      <c r="F44" s="22">
        <f>+BALANCE!F279</f>
        <v>0</v>
      </c>
      <c r="G44" s="22">
        <f>+BALANCE!G279</f>
        <v>0</v>
      </c>
      <c r="H44" s="22">
        <f>+BALANCE!H279</f>
        <v>0</v>
      </c>
      <c r="I44" s="22">
        <f>+BALANCE!I279</f>
        <v>0</v>
      </c>
      <c r="J44" s="22">
        <f>+BALANCE!J279</f>
        <v>208.40136000000001</v>
      </c>
      <c r="K44" s="79">
        <f>+BALANCE!K279</f>
        <v>0</v>
      </c>
    </row>
    <row r="45" spans="2:11" x14ac:dyDescent="0.2">
      <c r="B45" s="20">
        <f>+BALANCE!B285</f>
        <v>1444</v>
      </c>
      <c r="C45" s="21" t="str">
        <f>+BALANCE!C285</f>
        <v>Cartera de créditos para la microempresa reestructurada que no devenga intereses</v>
      </c>
      <c r="D45" s="22">
        <f>+BALANCE!D285</f>
        <v>0</v>
      </c>
      <c r="E45" s="22">
        <f>+BALANCE!E285</f>
        <v>0</v>
      </c>
      <c r="F45" s="22">
        <f>+BALANCE!F285</f>
        <v>0</v>
      </c>
      <c r="G45" s="22">
        <f>+BALANCE!G285</f>
        <v>183.86063999999999</v>
      </c>
      <c r="H45" s="22">
        <f>+BALANCE!H285</f>
        <v>0</v>
      </c>
      <c r="I45" s="22">
        <f>+BALANCE!I285</f>
        <v>183.86063999999999</v>
      </c>
      <c r="J45" s="22">
        <f>+BALANCE!J285</f>
        <v>183.86063999999999</v>
      </c>
      <c r="K45" s="79">
        <f>+BALANCE!K285</f>
        <v>0</v>
      </c>
    </row>
    <row r="46" spans="2:11" x14ac:dyDescent="0.2">
      <c r="B46" s="20">
        <f>+BALANCE!B291</f>
        <v>1445</v>
      </c>
      <c r="C46" s="21" t="str">
        <f>+BALANCE!C291</f>
        <v>Cartera de crédito educativo reestructurada que no devenga intereses</v>
      </c>
      <c r="D46" s="22">
        <f>+BALANCE!D291</f>
        <v>0</v>
      </c>
      <c r="E46" s="22">
        <f>+BALANCE!E291</f>
        <v>0</v>
      </c>
      <c r="F46" s="22">
        <f>+BALANCE!F291</f>
        <v>0</v>
      </c>
      <c r="G46" s="22">
        <f>+BALANCE!G291</f>
        <v>0</v>
      </c>
      <c r="H46" s="22">
        <f>+BALANCE!H291</f>
        <v>0</v>
      </c>
      <c r="I46" s="22">
        <f>+BALANCE!I291</f>
        <v>0</v>
      </c>
      <c r="J46" s="22">
        <f>+BALANCE!J291</f>
        <v>0</v>
      </c>
      <c r="K46" s="79">
        <f>+BALANCE!K291</f>
        <v>0</v>
      </c>
    </row>
    <row r="47" spans="2:11" x14ac:dyDescent="0.2">
      <c r="B47" s="20">
        <f>+BALANCE!B297</f>
        <v>1446</v>
      </c>
      <c r="C47" s="21" t="str">
        <f>+BALANCE!C297</f>
        <v>Cartera de créditos de inversión pública reestructurada que no devenga intereses</v>
      </c>
      <c r="D47" s="22">
        <f>+BALANCE!D297</f>
        <v>0</v>
      </c>
      <c r="E47" s="22">
        <f>+BALANCE!E297</f>
        <v>0</v>
      </c>
      <c r="F47" s="22">
        <f>+BALANCE!F297</f>
        <v>0</v>
      </c>
      <c r="G47" s="22">
        <f>+BALANCE!G297</f>
        <v>0</v>
      </c>
      <c r="H47" s="22">
        <f>+BALANCE!H297</f>
        <v>0</v>
      </c>
      <c r="I47" s="22">
        <f>+BALANCE!I297</f>
        <v>0</v>
      </c>
      <c r="J47" s="22">
        <f>+BALANCE!J297</f>
        <v>0</v>
      </c>
      <c r="K47" s="79">
        <f>+BALANCE!K297</f>
        <v>0</v>
      </c>
    </row>
    <row r="48" spans="2:11" ht="15" x14ac:dyDescent="0.25">
      <c r="B48" s="20"/>
      <c r="C48" s="24" t="s">
        <v>604</v>
      </c>
      <c r="D48" s="81">
        <f>SUM(D30:D47)</f>
        <v>14278.267379999999</v>
      </c>
      <c r="E48" s="81">
        <f t="shared" ref="E48:K48" si="2">SUM(E30:E47)</f>
        <v>14278.267379999999</v>
      </c>
      <c r="F48" s="81">
        <f t="shared" si="2"/>
        <v>192.62246999999999</v>
      </c>
      <c r="G48" s="81">
        <f t="shared" si="2"/>
        <v>91740.658790000001</v>
      </c>
      <c r="H48" s="81">
        <f t="shared" si="2"/>
        <v>27689.070199999998</v>
      </c>
      <c r="I48" s="81">
        <f t="shared" si="2"/>
        <v>119622.35145999999</v>
      </c>
      <c r="J48" s="81">
        <f t="shared" si="2"/>
        <v>133900.61883999998</v>
      </c>
      <c r="K48" s="82">
        <f t="shared" si="2"/>
        <v>17855.219860000001</v>
      </c>
    </row>
    <row r="49" spans="2:11" x14ac:dyDescent="0.2">
      <c r="B49" s="20"/>
      <c r="C49" s="21"/>
      <c r="D49" s="22"/>
      <c r="E49" s="22"/>
      <c r="F49" s="22"/>
      <c r="G49" s="22"/>
      <c r="H49" s="22"/>
      <c r="I49" s="22"/>
      <c r="J49" s="22"/>
      <c r="K49" s="79"/>
    </row>
    <row r="50" spans="2:11" x14ac:dyDescent="0.2">
      <c r="B50" s="20">
        <f>+BALANCE!B303</f>
        <v>1449</v>
      </c>
      <c r="C50" s="21" t="str">
        <f>+BALANCE!C303</f>
        <v>Cartera de créditos comercial vencida</v>
      </c>
      <c r="D50" s="22">
        <f>+BALANCE!D303</f>
        <v>9005.1311499999993</v>
      </c>
      <c r="E50" s="22">
        <f>+BALANCE!E303</f>
        <v>9005.1311499999993</v>
      </c>
      <c r="F50" s="22">
        <f>+BALANCE!F303</f>
        <v>0</v>
      </c>
      <c r="G50" s="22">
        <f>+BALANCE!G303</f>
        <v>40898.987090000002</v>
      </c>
      <c r="H50" s="22">
        <f>+BALANCE!H303</f>
        <v>44839.158150000003</v>
      </c>
      <c r="I50" s="22">
        <f>+BALANCE!I303</f>
        <v>85738.145240000013</v>
      </c>
      <c r="J50" s="22">
        <f>+BALANCE!J303</f>
        <v>94743.276390000014</v>
      </c>
      <c r="K50" s="79">
        <f>+BALANCE!K303</f>
        <v>0</v>
      </c>
    </row>
    <row r="51" spans="2:11" x14ac:dyDescent="0.2">
      <c r="B51" s="20">
        <f>+BALANCE!B309</f>
        <v>1450</v>
      </c>
      <c r="C51" s="21" t="str">
        <f>+BALANCE!C309</f>
        <v>Cartera de créditos de consumo vencida</v>
      </c>
      <c r="D51" s="22">
        <f>+BALANCE!D309</f>
        <v>0</v>
      </c>
      <c r="E51" s="22">
        <f>+BALANCE!E309</f>
        <v>0</v>
      </c>
      <c r="F51" s="22">
        <f>+BALANCE!F309</f>
        <v>0</v>
      </c>
      <c r="G51" s="22">
        <f>+BALANCE!G309</f>
        <v>1422.34312</v>
      </c>
      <c r="H51" s="22">
        <f>+BALANCE!H309</f>
        <v>0</v>
      </c>
      <c r="I51" s="22">
        <f>+BALANCE!I309</f>
        <v>1422.34312</v>
      </c>
      <c r="J51" s="22">
        <f>+BALANCE!J309</f>
        <v>1422.34312</v>
      </c>
      <c r="K51" s="79">
        <f>+BALANCE!K309</f>
        <v>0</v>
      </c>
    </row>
    <row r="52" spans="2:11" x14ac:dyDescent="0.2">
      <c r="B52" s="20">
        <f>+BALANCE!B315</f>
        <v>1451</v>
      </c>
      <c r="C52" s="21" t="str">
        <f>+BALANCE!C315</f>
        <v>Cartera de créditos de vivienda vencida</v>
      </c>
      <c r="D52" s="22">
        <f>+BALANCE!D315</f>
        <v>55.869</v>
      </c>
      <c r="E52" s="22">
        <f>+BALANCE!E315</f>
        <v>55.869</v>
      </c>
      <c r="F52" s="22">
        <f>+BALANCE!F315</f>
        <v>0</v>
      </c>
      <c r="G52" s="22">
        <f>+BALANCE!G315</f>
        <v>0</v>
      </c>
      <c r="H52" s="22">
        <f>+BALANCE!H315</f>
        <v>0</v>
      </c>
      <c r="I52" s="22">
        <f>+BALANCE!I315</f>
        <v>0</v>
      </c>
      <c r="J52" s="22">
        <f>+BALANCE!J315</f>
        <v>55.869</v>
      </c>
      <c r="K52" s="79">
        <f>+BALANCE!K315</f>
        <v>0</v>
      </c>
    </row>
    <row r="53" spans="2:11" x14ac:dyDescent="0.2">
      <c r="B53" s="20">
        <f>+BALANCE!B322</f>
        <v>1452</v>
      </c>
      <c r="C53" s="21" t="str">
        <f>+BALANCE!C322</f>
        <v>Cartera de créditos para la microempresa vencida</v>
      </c>
      <c r="D53" s="22">
        <f>+BALANCE!D322</f>
        <v>0</v>
      </c>
      <c r="E53" s="22">
        <f>+BALANCE!E322</f>
        <v>0</v>
      </c>
      <c r="F53" s="22">
        <f>+BALANCE!F322</f>
        <v>0</v>
      </c>
      <c r="G53" s="22">
        <f>+BALANCE!G322</f>
        <v>2778.7677100000001</v>
      </c>
      <c r="H53" s="22">
        <f>+BALANCE!H322</f>
        <v>685.60401000000002</v>
      </c>
      <c r="I53" s="22">
        <f>+BALANCE!I322</f>
        <v>3464.3717200000001</v>
      </c>
      <c r="J53" s="22">
        <f>+BALANCE!J322</f>
        <v>3464.3717200000001</v>
      </c>
      <c r="K53" s="79">
        <f>+BALANCE!K322</f>
        <v>0</v>
      </c>
    </row>
    <row r="54" spans="2:11" x14ac:dyDescent="0.2">
      <c r="B54" s="20">
        <f>+BALANCE!B328</f>
        <v>1453</v>
      </c>
      <c r="C54" s="21" t="str">
        <f>+BALANCE!C328</f>
        <v>Cartera de crédito educativo vencida</v>
      </c>
      <c r="D54" s="22">
        <f>+BALANCE!D328</f>
        <v>0</v>
      </c>
      <c r="E54" s="22">
        <f>+BALANCE!E328</f>
        <v>0</v>
      </c>
      <c r="F54" s="22">
        <f>+BALANCE!F328</f>
        <v>0</v>
      </c>
      <c r="G54" s="22">
        <f>+BALANCE!G328</f>
        <v>0</v>
      </c>
      <c r="H54" s="22">
        <f>+BALANCE!H328</f>
        <v>0</v>
      </c>
      <c r="I54" s="22">
        <f>+BALANCE!I328</f>
        <v>0</v>
      </c>
      <c r="J54" s="22">
        <f>+BALANCE!J328</f>
        <v>0</v>
      </c>
      <c r="K54" s="79">
        <f>+BALANCE!K328</f>
        <v>12416.8416</v>
      </c>
    </row>
    <row r="55" spans="2:11" x14ac:dyDescent="0.2">
      <c r="B55" s="20">
        <f>+BALANCE!B334</f>
        <v>1454</v>
      </c>
      <c r="C55" s="21" t="str">
        <f>+BALANCE!C334</f>
        <v>Cartera de créditos de inversión pública vencida</v>
      </c>
      <c r="D55" s="22">
        <f>+BALANCE!D334</f>
        <v>0</v>
      </c>
      <c r="E55" s="22">
        <f>+BALANCE!E334</f>
        <v>0</v>
      </c>
      <c r="F55" s="22">
        <f>+BALANCE!F334</f>
        <v>18.01662</v>
      </c>
      <c r="G55" s="22">
        <f>+BALANCE!G334</f>
        <v>0</v>
      </c>
      <c r="H55" s="22">
        <f>+BALANCE!H334</f>
        <v>0</v>
      </c>
      <c r="I55" s="22">
        <f>+BALANCE!I334</f>
        <v>18.01662</v>
      </c>
      <c r="J55" s="22">
        <f>+BALANCE!J334</f>
        <v>18.01662</v>
      </c>
      <c r="K55" s="79">
        <f>+BALANCE!K334</f>
        <v>0</v>
      </c>
    </row>
    <row r="56" spans="2:11" x14ac:dyDescent="0.2">
      <c r="B56" s="20">
        <f>+BALANCE!B340</f>
        <v>1457</v>
      </c>
      <c r="C56" s="21" t="str">
        <f>+BALANCE!C340</f>
        <v>Cartera de créditos comercial refinanciada vencida</v>
      </c>
      <c r="D56" s="22">
        <f>+BALANCE!D340</f>
        <v>0</v>
      </c>
      <c r="E56" s="22">
        <f>+BALANCE!E340</f>
        <v>0</v>
      </c>
      <c r="F56" s="22">
        <f>+BALANCE!F340</f>
        <v>0</v>
      </c>
      <c r="G56" s="22">
        <f>+BALANCE!G340</f>
        <v>0</v>
      </c>
      <c r="H56" s="22">
        <f>+BALANCE!H340</f>
        <v>0</v>
      </c>
      <c r="I56" s="22">
        <f>+BALANCE!I340</f>
        <v>0</v>
      </c>
      <c r="J56" s="22">
        <f>+BALANCE!J340</f>
        <v>0</v>
      </c>
      <c r="K56" s="79">
        <f>+BALANCE!K340</f>
        <v>0</v>
      </c>
    </row>
    <row r="57" spans="2:11" x14ac:dyDescent="0.2">
      <c r="B57" s="20">
        <f>+BALANCE!B346</f>
        <v>1458</v>
      </c>
      <c r="C57" s="21" t="str">
        <f>+BALANCE!C346</f>
        <v>Cartera de créditos de consumo refinanciada vencida</v>
      </c>
      <c r="D57" s="22">
        <f>+BALANCE!D346</f>
        <v>0</v>
      </c>
      <c r="E57" s="22">
        <f>+BALANCE!E346</f>
        <v>0</v>
      </c>
      <c r="F57" s="22">
        <f>+BALANCE!F346</f>
        <v>0</v>
      </c>
      <c r="G57" s="22">
        <f>+BALANCE!G346</f>
        <v>0</v>
      </c>
      <c r="H57" s="22">
        <f>+BALANCE!H346</f>
        <v>0</v>
      </c>
      <c r="I57" s="22">
        <f>+BALANCE!I346</f>
        <v>0</v>
      </c>
      <c r="J57" s="22">
        <f>+BALANCE!J346</f>
        <v>0</v>
      </c>
      <c r="K57" s="79">
        <f>+BALANCE!K346</f>
        <v>0</v>
      </c>
    </row>
    <row r="58" spans="2:11" x14ac:dyDescent="0.2">
      <c r="B58" s="20">
        <f>+BALANCE!B352</f>
        <v>1459</v>
      </c>
      <c r="C58" s="21" t="str">
        <f>+BALANCE!C352</f>
        <v>Cartera de créditos de vivienda refinanciada vencida</v>
      </c>
      <c r="D58" s="22">
        <f>+BALANCE!D352</f>
        <v>0</v>
      </c>
      <c r="E58" s="22">
        <f>+BALANCE!E352</f>
        <v>0</v>
      </c>
      <c r="F58" s="22">
        <f>+BALANCE!F352</f>
        <v>0</v>
      </c>
      <c r="G58" s="22">
        <f>+BALANCE!G352</f>
        <v>0</v>
      </c>
      <c r="H58" s="22">
        <f>+BALANCE!H352</f>
        <v>0</v>
      </c>
      <c r="I58" s="22">
        <f>+BALANCE!I352</f>
        <v>0</v>
      </c>
      <c r="J58" s="22">
        <f>+BALANCE!J352</f>
        <v>0</v>
      </c>
      <c r="K58" s="79">
        <f>+BALANCE!K352</f>
        <v>0</v>
      </c>
    </row>
    <row r="59" spans="2:11" x14ac:dyDescent="0.2">
      <c r="B59" s="20">
        <f>+BALANCE!B359</f>
        <v>1460</v>
      </c>
      <c r="C59" s="21" t="str">
        <f>+BALANCE!C359</f>
        <v>Cartera de créditos para la microempresa refinanciada vencida</v>
      </c>
      <c r="D59" s="22">
        <f>+BALANCE!D359</f>
        <v>0</v>
      </c>
      <c r="E59" s="22">
        <f>+BALANCE!E359</f>
        <v>0</v>
      </c>
      <c r="F59" s="22">
        <f>+BALANCE!F359</f>
        <v>0</v>
      </c>
      <c r="G59" s="22">
        <f>+BALANCE!G359</f>
        <v>0</v>
      </c>
      <c r="H59" s="22">
        <f>+BALANCE!H359</f>
        <v>0</v>
      </c>
      <c r="I59" s="22">
        <f>+BALANCE!I359</f>
        <v>0</v>
      </c>
      <c r="J59" s="22">
        <f>+BALANCE!J359</f>
        <v>0</v>
      </c>
      <c r="K59" s="79">
        <f>+BALANCE!K359</f>
        <v>0</v>
      </c>
    </row>
    <row r="60" spans="2:11" x14ac:dyDescent="0.2">
      <c r="B60" s="20">
        <f>+BALANCE!B365</f>
        <v>1461</v>
      </c>
      <c r="C60" s="21" t="str">
        <f>+BALANCE!C365</f>
        <v>Cartera de crédito educativo refinanciada vencida</v>
      </c>
      <c r="D60" s="22">
        <f>+BALANCE!D365</f>
        <v>0</v>
      </c>
      <c r="E60" s="22">
        <f>+BALANCE!E365</f>
        <v>0</v>
      </c>
      <c r="F60" s="22">
        <f>+BALANCE!F365</f>
        <v>0</v>
      </c>
      <c r="G60" s="22">
        <f>+BALANCE!G365</f>
        <v>0</v>
      </c>
      <c r="H60" s="22">
        <f>+BALANCE!H365</f>
        <v>0</v>
      </c>
      <c r="I60" s="22">
        <f>+BALANCE!I365</f>
        <v>0</v>
      </c>
      <c r="J60" s="22">
        <f>+BALANCE!J365</f>
        <v>0</v>
      </c>
      <c r="K60" s="79">
        <f>+BALANCE!K365</f>
        <v>0</v>
      </c>
    </row>
    <row r="61" spans="2:11" x14ac:dyDescent="0.2">
      <c r="B61" s="20">
        <f>+BALANCE!B371</f>
        <v>1462</v>
      </c>
      <c r="C61" s="21" t="str">
        <f>+BALANCE!C371</f>
        <v>Cartera de créditos de inversión pública refinanciada vencida</v>
      </c>
      <c r="D61" s="22">
        <f>+BALANCE!D371</f>
        <v>0</v>
      </c>
      <c r="E61" s="22">
        <f>+BALANCE!E371</f>
        <v>0</v>
      </c>
      <c r="F61" s="22">
        <f>+BALANCE!F371</f>
        <v>0</v>
      </c>
      <c r="G61" s="22">
        <f>+BALANCE!G371</f>
        <v>0</v>
      </c>
      <c r="H61" s="22">
        <f>+BALANCE!H371</f>
        <v>0</v>
      </c>
      <c r="I61" s="22">
        <f>+BALANCE!I371</f>
        <v>0</v>
      </c>
      <c r="J61" s="22">
        <f>+BALANCE!J371</f>
        <v>0</v>
      </c>
      <c r="K61" s="79">
        <f>+BALANCE!K371</f>
        <v>0</v>
      </c>
    </row>
    <row r="62" spans="2:11" x14ac:dyDescent="0.2">
      <c r="B62" s="20">
        <f>+BALANCE!B377</f>
        <v>1465</v>
      </c>
      <c r="C62" s="21" t="str">
        <f>+BALANCE!C377</f>
        <v>Cartera de créditos comercial reestructurada vencida</v>
      </c>
      <c r="D62" s="22">
        <f>+BALANCE!D377</f>
        <v>0</v>
      </c>
      <c r="E62" s="22">
        <f>+BALANCE!E377</f>
        <v>0</v>
      </c>
      <c r="F62" s="22">
        <f>+BALANCE!F377</f>
        <v>0</v>
      </c>
      <c r="G62" s="22">
        <f>+BALANCE!G377</f>
        <v>11396.18087</v>
      </c>
      <c r="H62" s="22">
        <f>+BALANCE!H377</f>
        <v>950.96981000000005</v>
      </c>
      <c r="I62" s="22">
        <f>+BALANCE!I377</f>
        <v>12347.150680000001</v>
      </c>
      <c r="J62" s="22">
        <f>+BALANCE!J377</f>
        <v>12347.150680000001</v>
      </c>
      <c r="K62" s="79">
        <f>+BALANCE!K377</f>
        <v>0</v>
      </c>
    </row>
    <row r="63" spans="2:11" x14ac:dyDescent="0.2">
      <c r="B63" s="20">
        <f>+BALANCE!B383</f>
        <v>1466</v>
      </c>
      <c r="C63" s="21" t="str">
        <f>+BALANCE!C383</f>
        <v>Cartera de créditos de consumo reestructurada vencida</v>
      </c>
      <c r="D63" s="22">
        <f>+BALANCE!D383</f>
        <v>0</v>
      </c>
      <c r="E63" s="22">
        <f>+BALANCE!E383</f>
        <v>0</v>
      </c>
      <c r="F63" s="22">
        <f>+BALANCE!F383</f>
        <v>0</v>
      </c>
      <c r="G63" s="22">
        <f>+BALANCE!G383</f>
        <v>83.036699999999996</v>
      </c>
      <c r="H63" s="22">
        <f>+BALANCE!H383</f>
        <v>0</v>
      </c>
      <c r="I63" s="22">
        <f>+BALANCE!I383</f>
        <v>83.036699999999996</v>
      </c>
      <c r="J63" s="22">
        <f>+BALANCE!J383</f>
        <v>83.036699999999996</v>
      </c>
      <c r="K63" s="79">
        <f>+BALANCE!K383</f>
        <v>0</v>
      </c>
    </row>
    <row r="64" spans="2:11" x14ac:dyDescent="0.2">
      <c r="B64" s="20">
        <f>+BALANCE!B389</f>
        <v>1467</v>
      </c>
      <c r="C64" s="21" t="str">
        <f>+BALANCE!C389</f>
        <v>Cartera de créditos de vivienda reestructurada vencida</v>
      </c>
      <c r="D64" s="22">
        <f>+BALANCE!D389</f>
        <v>4.8739699999999999</v>
      </c>
      <c r="E64" s="22">
        <f>+BALANCE!E389</f>
        <v>4.8739699999999999</v>
      </c>
      <c r="F64" s="22">
        <f>+BALANCE!F389</f>
        <v>0</v>
      </c>
      <c r="G64" s="22">
        <f>+BALANCE!G389</f>
        <v>0</v>
      </c>
      <c r="H64" s="22">
        <f>+BALANCE!H389</f>
        <v>0</v>
      </c>
      <c r="I64" s="22">
        <f>+BALANCE!I389</f>
        <v>0</v>
      </c>
      <c r="J64" s="22">
        <f>+BALANCE!J389</f>
        <v>4.8739699999999999</v>
      </c>
      <c r="K64" s="79">
        <f>+BALANCE!K389</f>
        <v>0</v>
      </c>
    </row>
    <row r="65" spans="2:11" x14ac:dyDescent="0.2">
      <c r="B65" s="20">
        <f>+BALANCE!B396</f>
        <v>1468</v>
      </c>
      <c r="C65" s="21" t="str">
        <f>+BALANCE!C396</f>
        <v>Cartera de créditos para la microempresa reestructurada vencida</v>
      </c>
      <c r="D65" s="22">
        <f>+BALANCE!D396</f>
        <v>0</v>
      </c>
      <c r="E65" s="22">
        <f>+BALANCE!E396</f>
        <v>0</v>
      </c>
      <c r="F65" s="22">
        <f>+BALANCE!F396</f>
        <v>0</v>
      </c>
      <c r="G65" s="22">
        <f>+BALANCE!G396</f>
        <v>140.64618999999999</v>
      </c>
      <c r="H65" s="22">
        <f>+BALANCE!H396</f>
        <v>0</v>
      </c>
      <c r="I65" s="22">
        <f>+BALANCE!I396</f>
        <v>140.64618999999999</v>
      </c>
      <c r="J65" s="22">
        <f>+BALANCE!J396</f>
        <v>140.64618999999999</v>
      </c>
      <c r="K65" s="79">
        <f>+BALANCE!K396</f>
        <v>0</v>
      </c>
    </row>
    <row r="66" spans="2:11" x14ac:dyDescent="0.2">
      <c r="B66" s="20">
        <f>+BALANCE!B402</f>
        <v>1469</v>
      </c>
      <c r="C66" s="21" t="str">
        <f>+BALANCE!C402</f>
        <v>Cartera de crédito educativo reestructurada vencida</v>
      </c>
      <c r="D66" s="22">
        <f>+BALANCE!D402</f>
        <v>0</v>
      </c>
      <c r="E66" s="22">
        <f>+BALANCE!E402</f>
        <v>0</v>
      </c>
      <c r="F66" s="22">
        <f>+BALANCE!F402</f>
        <v>0</v>
      </c>
      <c r="G66" s="22">
        <f>+BALANCE!G402</f>
        <v>0</v>
      </c>
      <c r="H66" s="22">
        <f>+BALANCE!H402</f>
        <v>0</v>
      </c>
      <c r="I66" s="22">
        <f>+BALANCE!I402</f>
        <v>0</v>
      </c>
      <c r="J66" s="22">
        <f>+BALANCE!J402</f>
        <v>0</v>
      </c>
      <c r="K66" s="79">
        <f>+BALANCE!K402</f>
        <v>0</v>
      </c>
    </row>
    <row r="67" spans="2:11" x14ac:dyDescent="0.2">
      <c r="B67" s="20">
        <f>+BALANCE!B408</f>
        <v>1470</v>
      </c>
      <c r="C67" s="21" t="str">
        <f>+BALANCE!C408</f>
        <v>Cartera de créditos de inversión pública reestructurada vencida</v>
      </c>
      <c r="D67" s="22">
        <f>+BALANCE!D408</f>
        <v>0</v>
      </c>
      <c r="E67" s="22">
        <f>+BALANCE!E408</f>
        <v>0</v>
      </c>
      <c r="F67" s="22">
        <f>+BALANCE!F408</f>
        <v>0</v>
      </c>
      <c r="G67" s="22">
        <f>+BALANCE!G408</f>
        <v>0</v>
      </c>
      <c r="H67" s="22">
        <f>+BALANCE!H408</f>
        <v>0</v>
      </c>
      <c r="I67" s="22">
        <f>+BALANCE!I408</f>
        <v>0</v>
      </c>
      <c r="J67" s="22">
        <f>+BALANCE!J408</f>
        <v>0</v>
      </c>
      <c r="K67" s="79">
        <f>+BALANCE!K408</f>
        <v>0</v>
      </c>
    </row>
    <row r="68" spans="2:11" ht="15" x14ac:dyDescent="0.25">
      <c r="B68" s="20"/>
      <c r="C68" s="24" t="s">
        <v>606</v>
      </c>
      <c r="D68" s="81">
        <f>SUM(D50:D67)</f>
        <v>9065.8741200000004</v>
      </c>
      <c r="E68" s="81">
        <f t="shared" ref="E68:K68" si="3">SUM(E50:E67)</f>
        <v>9065.8741200000004</v>
      </c>
      <c r="F68" s="81">
        <f t="shared" si="3"/>
        <v>18.01662</v>
      </c>
      <c r="G68" s="81">
        <f t="shared" si="3"/>
        <v>56719.961679999993</v>
      </c>
      <c r="H68" s="81">
        <f t="shared" si="3"/>
        <v>46475.731970000008</v>
      </c>
      <c r="I68" s="81">
        <f t="shared" si="3"/>
        <v>103213.71027000001</v>
      </c>
      <c r="J68" s="81">
        <f t="shared" si="3"/>
        <v>112279.58439000002</v>
      </c>
      <c r="K68" s="82">
        <f t="shared" si="3"/>
        <v>12416.8416</v>
      </c>
    </row>
    <row r="69" spans="2:11" x14ac:dyDescent="0.2">
      <c r="B69" s="20"/>
      <c r="C69" s="21"/>
      <c r="D69" s="22"/>
      <c r="E69" s="22"/>
      <c r="F69" s="22"/>
      <c r="G69" s="22"/>
      <c r="H69" s="22"/>
      <c r="I69" s="22"/>
      <c r="J69" s="22"/>
      <c r="K69" s="79"/>
    </row>
    <row r="70" spans="2:11" ht="15" x14ac:dyDescent="0.25">
      <c r="B70" s="23">
        <f>+BALANCE!B414</f>
        <v>1499</v>
      </c>
      <c r="C70" s="24" t="str">
        <f>+BALANCE!C414</f>
        <v>(Provisiones para créditos incobrables)</v>
      </c>
      <c r="D70" s="81">
        <f>+BALANCE!D414</f>
        <v>-16559.367289999998</v>
      </c>
      <c r="E70" s="81">
        <f>+BALANCE!E414</f>
        <v>-16559.367289999998</v>
      </c>
      <c r="F70" s="81">
        <f>+BALANCE!F414</f>
        <v>-11177.734270000001</v>
      </c>
      <c r="G70" s="81">
        <f>+BALANCE!G414</f>
        <v>-105879.39492000001</v>
      </c>
      <c r="H70" s="81">
        <f>+BALANCE!H414</f>
        <v>-74639.560490000003</v>
      </c>
      <c r="I70" s="81">
        <f>+BALANCE!I414</f>
        <v>-191696.68968000001</v>
      </c>
      <c r="J70" s="81">
        <f>+BALANCE!J414</f>
        <v>-208256.05697000001</v>
      </c>
      <c r="K70" s="82">
        <f>+BALANCE!K414</f>
        <v>-14505.387930000001</v>
      </c>
    </row>
    <row r="71" spans="2:11" x14ac:dyDescent="0.2">
      <c r="B71" s="25"/>
      <c r="C71" s="26"/>
      <c r="D71" s="27"/>
      <c r="E71" s="27"/>
      <c r="F71" s="27"/>
      <c r="G71" s="27"/>
      <c r="H71" s="27"/>
      <c r="I71" s="27"/>
      <c r="J71" s="27"/>
      <c r="K71" s="86"/>
    </row>
    <row r="72" spans="2:11" x14ac:dyDescent="0.2">
      <c r="B72" s="74"/>
      <c r="C72" s="62"/>
      <c r="D72" s="76"/>
      <c r="E72" s="76"/>
      <c r="F72" s="76"/>
      <c r="G72" s="76"/>
      <c r="H72" s="76"/>
      <c r="I72" s="76"/>
      <c r="J72" s="76"/>
      <c r="K72" s="77"/>
    </row>
    <row r="73" spans="2:11" x14ac:dyDescent="0.2">
      <c r="B73" s="20"/>
      <c r="C73" s="119" t="s">
        <v>762</v>
      </c>
      <c r="D73" s="22">
        <f t="shared" ref="D73:K78" si="4">+D10+D16+D22</f>
        <v>149279.93072999999</v>
      </c>
      <c r="E73" s="22">
        <f t="shared" si="4"/>
        <v>149279.93072999999</v>
      </c>
      <c r="F73" s="22">
        <f t="shared" si="4"/>
        <v>0</v>
      </c>
      <c r="G73" s="22">
        <f t="shared" si="4"/>
        <v>498342.79978</v>
      </c>
      <c r="H73" s="22">
        <f t="shared" si="4"/>
        <v>1094930.13634</v>
      </c>
      <c r="I73" s="22">
        <f t="shared" si="4"/>
        <v>1593272.9361200002</v>
      </c>
      <c r="J73" s="22">
        <f t="shared" si="4"/>
        <v>1742552.8668500003</v>
      </c>
      <c r="K73" s="79">
        <f t="shared" si="4"/>
        <v>0</v>
      </c>
    </row>
    <row r="74" spans="2:11" x14ac:dyDescent="0.2">
      <c r="B74" s="20"/>
      <c r="C74" s="119" t="s">
        <v>763</v>
      </c>
      <c r="D74" s="22">
        <f t="shared" si="4"/>
        <v>0</v>
      </c>
      <c r="E74" s="22">
        <f t="shared" si="4"/>
        <v>0</v>
      </c>
      <c r="F74" s="22">
        <f t="shared" si="4"/>
        <v>0</v>
      </c>
      <c r="G74" s="22">
        <f t="shared" si="4"/>
        <v>26919.3475</v>
      </c>
      <c r="H74" s="22">
        <f t="shared" si="4"/>
        <v>0</v>
      </c>
      <c r="I74" s="22">
        <f t="shared" si="4"/>
        <v>26919.3475</v>
      </c>
      <c r="J74" s="22">
        <f t="shared" si="4"/>
        <v>26919.3475</v>
      </c>
      <c r="K74" s="79">
        <f t="shared" si="4"/>
        <v>0</v>
      </c>
    </row>
    <row r="75" spans="2:11" x14ac:dyDescent="0.2">
      <c r="B75" s="20"/>
      <c r="C75" s="119" t="s">
        <v>764</v>
      </c>
      <c r="D75" s="22">
        <f t="shared" si="4"/>
        <v>15773.61846</v>
      </c>
      <c r="E75" s="22">
        <f t="shared" si="4"/>
        <v>15773.61846</v>
      </c>
      <c r="F75" s="22">
        <f t="shared" si="4"/>
        <v>0</v>
      </c>
      <c r="G75" s="22">
        <f t="shared" si="4"/>
        <v>0</v>
      </c>
      <c r="H75" s="22">
        <f t="shared" si="4"/>
        <v>0</v>
      </c>
      <c r="I75" s="22">
        <f t="shared" si="4"/>
        <v>0</v>
      </c>
      <c r="J75" s="22">
        <f t="shared" si="4"/>
        <v>15773.61846</v>
      </c>
      <c r="K75" s="79">
        <f t="shared" si="4"/>
        <v>0</v>
      </c>
    </row>
    <row r="76" spans="2:11" x14ac:dyDescent="0.2">
      <c r="B76" s="20"/>
      <c r="C76" s="119" t="s">
        <v>765</v>
      </c>
      <c r="D76" s="22">
        <f t="shared" si="4"/>
        <v>0</v>
      </c>
      <c r="E76" s="22">
        <f t="shared" si="4"/>
        <v>0</v>
      </c>
      <c r="F76" s="22">
        <f t="shared" si="4"/>
        <v>0</v>
      </c>
      <c r="G76" s="22">
        <f t="shared" si="4"/>
        <v>250805.46072</v>
      </c>
      <c r="H76" s="22">
        <f t="shared" si="4"/>
        <v>26730.865440000001</v>
      </c>
      <c r="I76" s="22">
        <f t="shared" si="4"/>
        <v>277536.32616</v>
      </c>
      <c r="J76" s="22">
        <f t="shared" si="4"/>
        <v>277536.32616</v>
      </c>
      <c r="K76" s="79">
        <f t="shared" si="4"/>
        <v>0</v>
      </c>
    </row>
    <row r="77" spans="2:11" x14ac:dyDescent="0.2">
      <c r="B77" s="20"/>
      <c r="C77" s="119" t="s">
        <v>766</v>
      </c>
      <c r="D77" s="22">
        <f t="shared" si="4"/>
        <v>0</v>
      </c>
      <c r="E77" s="22">
        <f t="shared" si="4"/>
        <v>0</v>
      </c>
      <c r="F77" s="22">
        <f t="shared" si="4"/>
        <v>0</v>
      </c>
      <c r="G77" s="22">
        <f t="shared" si="4"/>
        <v>0</v>
      </c>
      <c r="H77" s="22">
        <f t="shared" si="4"/>
        <v>0</v>
      </c>
      <c r="I77" s="22">
        <f t="shared" si="4"/>
        <v>0</v>
      </c>
      <c r="J77" s="22">
        <f t="shared" si="4"/>
        <v>0</v>
      </c>
      <c r="K77" s="79">
        <f t="shared" si="4"/>
        <v>257687.12669</v>
      </c>
    </row>
    <row r="78" spans="2:11" x14ac:dyDescent="0.2">
      <c r="B78" s="20"/>
      <c r="C78" s="119" t="s">
        <v>767</v>
      </c>
      <c r="D78" s="22">
        <f t="shared" si="4"/>
        <v>0</v>
      </c>
      <c r="E78" s="22">
        <f t="shared" si="4"/>
        <v>0</v>
      </c>
      <c r="F78" s="22">
        <f t="shared" si="4"/>
        <v>947585.53266999999</v>
      </c>
      <c r="G78" s="22">
        <f t="shared" si="4"/>
        <v>0</v>
      </c>
      <c r="H78" s="22">
        <f t="shared" si="4"/>
        <v>0</v>
      </c>
      <c r="I78" s="22">
        <f t="shared" si="4"/>
        <v>947585.53266999999</v>
      </c>
      <c r="J78" s="22">
        <f t="shared" si="4"/>
        <v>947585.53266999999</v>
      </c>
      <c r="K78" s="79">
        <f t="shared" si="4"/>
        <v>0</v>
      </c>
    </row>
    <row r="79" spans="2:11" ht="15" x14ac:dyDescent="0.25">
      <c r="B79" s="20"/>
      <c r="C79" s="120" t="s">
        <v>630</v>
      </c>
      <c r="D79" s="81">
        <f>SUM(D73:D78)</f>
        <v>165053.54918999999</v>
      </c>
      <c r="E79" s="81">
        <f t="shared" ref="E79:K79" si="5">SUM(E73:E78)</f>
        <v>165053.54918999999</v>
      </c>
      <c r="F79" s="81">
        <f t="shared" si="5"/>
        <v>947585.53266999999</v>
      </c>
      <c r="G79" s="81">
        <f t="shared" si="5"/>
        <v>776067.60800000001</v>
      </c>
      <c r="H79" s="81">
        <f t="shared" si="5"/>
        <v>1121661.00178</v>
      </c>
      <c r="I79" s="81">
        <f t="shared" si="5"/>
        <v>2845314.1424500002</v>
      </c>
      <c r="J79" s="81">
        <f t="shared" si="5"/>
        <v>3010367.6916400003</v>
      </c>
      <c r="K79" s="82">
        <f t="shared" si="5"/>
        <v>257687.12669</v>
      </c>
    </row>
    <row r="80" spans="2:11" x14ac:dyDescent="0.2">
      <c r="B80" s="20"/>
      <c r="C80" s="21"/>
      <c r="D80" s="22"/>
      <c r="E80" s="22"/>
      <c r="F80" s="22"/>
      <c r="G80" s="22"/>
      <c r="H80" s="22"/>
      <c r="I80" s="22"/>
      <c r="J80" s="22"/>
      <c r="K80" s="79"/>
    </row>
    <row r="81" spans="2:11" x14ac:dyDescent="0.2">
      <c r="B81" s="20"/>
      <c r="C81" s="119" t="s">
        <v>768</v>
      </c>
      <c r="D81" s="22">
        <f t="shared" ref="D81:K86" si="6">+D30+D36+D42+D50+D56+D62</f>
        <v>22420.370199999998</v>
      </c>
      <c r="E81" s="22">
        <f t="shared" si="6"/>
        <v>22420.370199999998</v>
      </c>
      <c r="F81" s="22">
        <f t="shared" si="6"/>
        <v>0</v>
      </c>
      <c r="G81" s="22">
        <f t="shared" si="6"/>
        <v>126754.89390000001</v>
      </c>
      <c r="H81" s="22">
        <f t="shared" si="6"/>
        <v>69450.28469</v>
      </c>
      <c r="I81" s="22">
        <f t="shared" si="6"/>
        <v>196205.17859</v>
      </c>
      <c r="J81" s="22">
        <f t="shared" si="6"/>
        <v>218625.54879</v>
      </c>
      <c r="K81" s="79">
        <f t="shared" si="6"/>
        <v>0</v>
      </c>
    </row>
    <row r="82" spans="2:11" x14ac:dyDescent="0.2">
      <c r="B82" s="20"/>
      <c r="C82" s="119" t="s">
        <v>769</v>
      </c>
      <c r="D82" s="22">
        <f t="shared" si="6"/>
        <v>0</v>
      </c>
      <c r="E82" s="22">
        <f t="shared" si="6"/>
        <v>0</v>
      </c>
      <c r="F82" s="22">
        <f t="shared" si="6"/>
        <v>0</v>
      </c>
      <c r="G82" s="22">
        <f t="shared" si="6"/>
        <v>5697.9512600000007</v>
      </c>
      <c r="H82" s="22">
        <f t="shared" si="6"/>
        <v>0</v>
      </c>
      <c r="I82" s="22">
        <f t="shared" si="6"/>
        <v>5697.9512600000007</v>
      </c>
      <c r="J82" s="22">
        <f t="shared" si="6"/>
        <v>5697.9512600000007</v>
      </c>
      <c r="K82" s="79">
        <f t="shared" si="6"/>
        <v>0</v>
      </c>
    </row>
    <row r="83" spans="2:11" x14ac:dyDescent="0.2">
      <c r="B83" s="20"/>
      <c r="C83" s="119" t="s">
        <v>770</v>
      </c>
      <c r="D83" s="22">
        <f t="shared" si="6"/>
        <v>923.77130000000011</v>
      </c>
      <c r="E83" s="22">
        <f t="shared" si="6"/>
        <v>923.77130000000011</v>
      </c>
      <c r="F83" s="22">
        <f t="shared" si="6"/>
        <v>0</v>
      </c>
      <c r="G83" s="22">
        <f t="shared" si="6"/>
        <v>0</v>
      </c>
      <c r="H83" s="22">
        <f t="shared" si="6"/>
        <v>0</v>
      </c>
      <c r="I83" s="22">
        <f t="shared" si="6"/>
        <v>0</v>
      </c>
      <c r="J83" s="22">
        <f t="shared" si="6"/>
        <v>923.77130000000011</v>
      </c>
      <c r="K83" s="79">
        <f t="shared" si="6"/>
        <v>0</v>
      </c>
    </row>
    <row r="84" spans="2:11" x14ac:dyDescent="0.2">
      <c r="B84" s="20"/>
      <c r="C84" s="119" t="s">
        <v>771</v>
      </c>
      <c r="D84" s="22">
        <f t="shared" si="6"/>
        <v>0</v>
      </c>
      <c r="E84" s="22">
        <f t="shared" si="6"/>
        <v>0</v>
      </c>
      <c r="F84" s="22">
        <f t="shared" si="6"/>
        <v>0</v>
      </c>
      <c r="G84" s="22">
        <f t="shared" si="6"/>
        <v>16007.775310000001</v>
      </c>
      <c r="H84" s="22">
        <f t="shared" si="6"/>
        <v>4714.5174800000004</v>
      </c>
      <c r="I84" s="22">
        <f t="shared" si="6"/>
        <v>20722.29279</v>
      </c>
      <c r="J84" s="22">
        <f t="shared" si="6"/>
        <v>20722.29279</v>
      </c>
      <c r="K84" s="79">
        <f t="shared" si="6"/>
        <v>0</v>
      </c>
    </row>
    <row r="85" spans="2:11" x14ac:dyDescent="0.2">
      <c r="B85" s="20"/>
      <c r="C85" s="119" t="s">
        <v>772</v>
      </c>
      <c r="D85" s="22">
        <f t="shared" si="6"/>
        <v>0</v>
      </c>
      <c r="E85" s="22">
        <f t="shared" si="6"/>
        <v>0</v>
      </c>
      <c r="F85" s="22">
        <f t="shared" si="6"/>
        <v>0</v>
      </c>
      <c r="G85" s="22">
        <f t="shared" si="6"/>
        <v>0</v>
      </c>
      <c r="H85" s="22">
        <f t="shared" si="6"/>
        <v>0</v>
      </c>
      <c r="I85" s="22">
        <f t="shared" si="6"/>
        <v>0</v>
      </c>
      <c r="J85" s="22">
        <f t="shared" si="6"/>
        <v>0</v>
      </c>
      <c r="K85" s="79">
        <f t="shared" si="6"/>
        <v>30272.061460000001</v>
      </c>
    </row>
    <row r="86" spans="2:11" x14ac:dyDescent="0.2">
      <c r="B86" s="20"/>
      <c r="C86" s="119" t="s">
        <v>773</v>
      </c>
      <c r="D86" s="22">
        <f t="shared" si="6"/>
        <v>0</v>
      </c>
      <c r="E86" s="22">
        <f t="shared" si="6"/>
        <v>0</v>
      </c>
      <c r="F86" s="22">
        <f t="shared" si="6"/>
        <v>210.63908999999998</v>
      </c>
      <c r="G86" s="22">
        <f t="shared" si="6"/>
        <v>0</v>
      </c>
      <c r="H86" s="22">
        <f t="shared" si="6"/>
        <v>0</v>
      </c>
      <c r="I86" s="22">
        <f t="shared" si="6"/>
        <v>210.63908999999998</v>
      </c>
      <c r="J86" s="22">
        <f t="shared" si="6"/>
        <v>210.63908999999998</v>
      </c>
      <c r="K86" s="79">
        <f t="shared" si="6"/>
        <v>0</v>
      </c>
    </row>
    <row r="87" spans="2:11" ht="15" x14ac:dyDescent="0.25">
      <c r="B87" s="20"/>
      <c r="C87" s="120" t="s">
        <v>774</v>
      </c>
      <c r="D87" s="81">
        <f>SUM(D81:D86)</f>
        <v>23344.141499999998</v>
      </c>
      <c r="E87" s="81">
        <f t="shared" ref="E87:K87" si="7">SUM(E81:E86)</f>
        <v>23344.141499999998</v>
      </c>
      <c r="F87" s="81">
        <f t="shared" si="7"/>
        <v>210.63908999999998</v>
      </c>
      <c r="G87" s="81">
        <f t="shared" si="7"/>
        <v>148460.62046999999</v>
      </c>
      <c r="H87" s="81">
        <f t="shared" si="7"/>
        <v>74164.802169999995</v>
      </c>
      <c r="I87" s="81">
        <f t="shared" si="7"/>
        <v>222836.06173000002</v>
      </c>
      <c r="J87" s="81">
        <f t="shared" si="7"/>
        <v>246180.20323000001</v>
      </c>
      <c r="K87" s="82">
        <f t="shared" si="7"/>
        <v>30272.061460000001</v>
      </c>
    </row>
    <row r="88" spans="2:11" x14ac:dyDescent="0.2">
      <c r="B88" s="20"/>
      <c r="C88" s="21"/>
      <c r="D88" s="22"/>
      <c r="E88" s="22"/>
      <c r="F88" s="22"/>
      <c r="G88" s="22"/>
      <c r="H88" s="22"/>
      <c r="I88" s="22"/>
      <c r="J88" s="22"/>
      <c r="K88" s="79"/>
    </row>
    <row r="89" spans="2:11" x14ac:dyDescent="0.2">
      <c r="B89" s="20"/>
      <c r="C89" s="119" t="s">
        <v>775</v>
      </c>
      <c r="D89" s="22">
        <f>+D73+D81</f>
        <v>171700.30093</v>
      </c>
      <c r="E89" s="22">
        <f t="shared" ref="D89:L95" si="8">+E73+E81</f>
        <v>171700.30093</v>
      </c>
      <c r="F89" s="22">
        <f t="shared" si="8"/>
        <v>0</v>
      </c>
      <c r="G89" s="22">
        <f t="shared" si="8"/>
        <v>625097.69368000003</v>
      </c>
      <c r="H89" s="22">
        <f t="shared" si="8"/>
        <v>1164380.4210299999</v>
      </c>
      <c r="I89" s="22">
        <f t="shared" si="8"/>
        <v>1789478.1147100001</v>
      </c>
      <c r="J89" s="22">
        <f t="shared" si="8"/>
        <v>1961178.4156400003</v>
      </c>
      <c r="K89" s="79">
        <f t="shared" si="8"/>
        <v>0</v>
      </c>
    </row>
    <row r="90" spans="2:11" x14ac:dyDescent="0.2">
      <c r="B90" s="20"/>
      <c r="C90" s="119" t="s">
        <v>776</v>
      </c>
      <c r="D90" s="22">
        <f t="shared" ref="D90:K95" si="9">+D74+D82</f>
        <v>0</v>
      </c>
      <c r="E90" s="22">
        <f t="shared" si="9"/>
        <v>0</v>
      </c>
      <c r="F90" s="22">
        <f t="shared" si="9"/>
        <v>0</v>
      </c>
      <c r="G90" s="22">
        <f t="shared" si="9"/>
        <v>32617.298760000001</v>
      </c>
      <c r="H90" s="22">
        <f t="shared" si="9"/>
        <v>0</v>
      </c>
      <c r="I90" s="22">
        <f t="shared" si="9"/>
        <v>32617.298760000001</v>
      </c>
      <c r="J90" s="22">
        <f t="shared" si="9"/>
        <v>32617.298760000001</v>
      </c>
      <c r="K90" s="79">
        <f t="shared" si="9"/>
        <v>0</v>
      </c>
    </row>
    <row r="91" spans="2:11" x14ac:dyDescent="0.2">
      <c r="B91" s="20"/>
      <c r="C91" s="119" t="s">
        <v>777</v>
      </c>
      <c r="D91" s="22">
        <f t="shared" si="8"/>
        <v>16697.389759999998</v>
      </c>
      <c r="E91" s="22">
        <f t="shared" si="8"/>
        <v>16697.389759999998</v>
      </c>
      <c r="F91" s="22">
        <f t="shared" si="8"/>
        <v>0</v>
      </c>
      <c r="G91" s="22">
        <f t="shared" si="8"/>
        <v>0</v>
      </c>
      <c r="H91" s="22">
        <f t="shared" si="8"/>
        <v>0</v>
      </c>
      <c r="I91" s="22">
        <f t="shared" si="8"/>
        <v>0</v>
      </c>
      <c r="J91" s="22">
        <f t="shared" si="8"/>
        <v>16697.389759999998</v>
      </c>
      <c r="K91" s="79">
        <f t="shared" si="8"/>
        <v>0</v>
      </c>
    </row>
    <row r="92" spans="2:11" x14ac:dyDescent="0.2">
      <c r="B92" s="20"/>
      <c r="C92" s="119" t="s">
        <v>778</v>
      </c>
      <c r="D92" s="22">
        <f t="shared" si="9"/>
        <v>0</v>
      </c>
      <c r="E92" s="22">
        <f t="shared" si="8"/>
        <v>0</v>
      </c>
      <c r="F92" s="22">
        <f t="shared" si="8"/>
        <v>0</v>
      </c>
      <c r="G92" s="22">
        <f t="shared" si="8"/>
        <v>266813.23603000003</v>
      </c>
      <c r="H92" s="22">
        <f t="shared" si="8"/>
        <v>31445.382920000004</v>
      </c>
      <c r="I92" s="22">
        <f t="shared" si="8"/>
        <v>298258.61894999997</v>
      </c>
      <c r="J92" s="22">
        <f t="shared" si="8"/>
        <v>298258.61894999997</v>
      </c>
      <c r="K92" s="79">
        <f t="shared" si="8"/>
        <v>0</v>
      </c>
    </row>
    <row r="93" spans="2:11" x14ac:dyDescent="0.2">
      <c r="B93" s="20"/>
      <c r="C93" s="119" t="s">
        <v>779</v>
      </c>
      <c r="D93" s="22">
        <f t="shared" si="9"/>
        <v>0</v>
      </c>
      <c r="E93" s="22">
        <f t="shared" si="8"/>
        <v>0</v>
      </c>
      <c r="F93" s="22">
        <f t="shared" si="8"/>
        <v>0</v>
      </c>
      <c r="G93" s="22">
        <f t="shared" si="8"/>
        <v>0</v>
      </c>
      <c r="H93" s="22">
        <f t="shared" si="8"/>
        <v>0</v>
      </c>
      <c r="I93" s="22">
        <f t="shared" si="8"/>
        <v>0</v>
      </c>
      <c r="J93" s="22">
        <f t="shared" si="8"/>
        <v>0</v>
      </c>
      <c r="K93" s="79">
        <f t="shared" si="8"/>
        <v>287959.18815</v>
      </c>
    </row>
    <row r="94" spans="2:11" x14ac:dyDescent="0.2">
      <c r="B94" s="20"/>
      <c r="C94" s="119" t="s">
        <v>780</v>
      </c>
      <c r="D94" s="22">
        <f t="shared" si="9"/>
        <v>0</v>
      </c>
      <c r="E94" s="22">
        <f t="shared" si="8"/>
        <v>0</v>
      </c>
      <c r="F94" s="22">
        <f t="shared" si="8"/>
        <v>947796.17175999994</v>
      </c>
      <c r="G94" s="22">
        <f t="shared" si="8"/>
        <v>0</v>
      </c>
      <c r="H94" s="22">
        <f t="shared" si="8"/>
        <v>0</v>
      </c>
      <c r="I94" s="22">
        <f t="shared" si="8"/>
        <v>947796.17175999994</v>
      </c>
      <c r="J94" s="22">
        <f t="shared" si="8"/>
        <v>947796.17175999994</v>
      </c>
      <c r="K94" s="79">
        <f t="shared" si="8"/>
        <v>0</v>
      </c>
    </row>
    <row r="95" spans="2:11" ht="15" x14ac:dyDescent="0.25">
      <c r="B95" s="25"/>
      <c r="C95" s="121" t="s">
        <v>781</v>
      </c>
      <c r="D95" s="84">
        <f t="shared" si="9"/>
        <v>188397.69068999999</v>
      </c>
      <c r="E95" s="84">
        <f t="shared" si="8"/>
        <v>188397.69068999999</v>
      </c>
      <c r="F95" s="84">
        <f t="shared" si="8"/>
        <v>947796.17175999994</v>
      </c>
      <c r="G95" s="84">
        <f t="shared" si="8"/>
        <v>924528.22846999997</v>
      </c>
      <c r="H95" s="84">
        <f t="shared" si="8"/>
        <v>1195825.8039500001</v>
      </c>
      <c r="I95" s="84">
        <f t="shared" si="8"/>
        <v>3068150.2041800003</v>
      </c>
      <c r="J95" s="84">
        <f t="shared" si="8"/>
        <v>3256547.8948700004</v>
      </c>
      <c r="K95" s="85">
        <f t="shared" si="8"/>
        <v>287959.18815</v>
      </c>
    </row>
    <row r="97" spans="3:11" x14ac:dyDescent="0.2">
      <c r="C97" s="11" t="s">
        <v>740</v>
      </c>
      <c r="D97" s="122">
        <f>(D95+D70)-BALANCE!D86</f>
        <v>0</v>
      </c>
      <c r="E97" s="122">
        <f>(E95+E70)-BALANCE!E86</f>
        <v>0</v>
      </c>
      <c r="F97" s="122">
        <f>(F95+F70)-BALANCE!F86</f>
        <v>0</v>
      </c>
      <c r="G97" s="122">
        <f>(G95+G70)-BALANCE!G86</f>
        <v>0</v>
      </c>
      <c r="H97" s="122">
        <f>(H95+H70)-BALANCE!H86</f>
        <v>0</v>
      </c>
      <c r="I97" s="122">
        <f>(I95+I70)-BALANCE!I86</f>
        <v>0</v>
      </c>
      <c r="J97" s="122">
        <f>(J95+J70)-BALANCE!J86</f>
        <v>0</v>
      </c>
      <c r="K97" s="123">
        <f>(K95+K70)-BALANCE!K86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Jimenez</dc:creator>
  <cp:lastModifiedBy>Laura Jimenez</cp:lastModifiedBy>
  <dcterms:created xsi:type="dcterms:W3CDTF">2013-10-28T16:36:35Z</dcterms:created>
  <dcterms:modified xsi:type="dcterms:W3CDTF">2013-10-28T20:57:19Z</dcterms:modified>
</cp:coreProperties>
</file>